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55" activeTab="4"/>
  </bookViews>
  <sheets>
    <sheet name="REG19 A A" sheetId="1" r:id="rId1"/>
    <sheet name="S. ANT AJ" sheetId="2" r:id="rId2"/>
    <sheet name="M CR C" sheetId="3" r:id="rId3"/>
    <sheet name="M DEU C" sheetId="4" r:id="rId4"/>
    <sheet name="R BC C" sheetId="5" r:id="rId5"/>
    <sheet name="R BU C" sheetId="6" r:id="rId6"/>
    <sheet name="R PN C" sheetId="7" r:id="rId7"/>
    <sheet name="R R C" sheetId="8" r:id="rId8"/>
    <sheet name="REG 19 AJ" sheetId="9" r:id="rId9"/>
    <sheet name="MAY" sheetId="10" r:id="rId10"/>
  </sheets>
  <definedNames>
    <definedName name="_xlnm.Print_Area" localSheetId="2">'M CR C'!$A$1:$H$27</definedName>
    <definedName name="_xlnm.Print_Area" localSheetId="3">'M DEU C'!$A$1:$H$26</definedName>
    <definedName name="_xlnm.Print_Area" localSheetId="9">'MAY'!$A$1:$N$113</definedName>
    <definedName name="_xlnm.Print_Area" localSheetId="4">'R BC C'!$A$1:$K$34</definedName>
    <definedName name="_xlnm.Print_Area" localSheetId="5">'R BU C'!$A$1:$M$32</definedName>
    <definedName name="_xlnm.Print_Area" localSheetId="6">'R PN C'!$A$1:$E$54</definedName>
    <definedName name="_xlnm.Print_Area" localSheetId="7">'R R C'!$A$1:$R$50</definedName>
    <definedName name="_xlnm.Print_Area" localSheetId="8">'REG 19 AJ'!$A$1:$F$43</definedName>
    <definedName name="_xlnm.Print_Area" localSheetId="0">'REG19 A A'!$A$1:$D$53</definedName>
    <definedName name="_xlnm.Print_Area" localSheetId="1">'S. ANT AJ'!$A$1:$K$31</definedName>
  </definedNames>
  <calcPr fullCalcOnLoad="1"/>
</workbook>
</file>

<file path=xl/comments1.xml><?xml version="1.0" encoding="utf-8"?>
<comments xmlns="http://schemas.openxmlformats.org/spreadsheetml/2006/main">
  <authors>
    <author>FERNANDO CASALS</author>
  </authors>
  <commentList>
    <comment ref="A5" authorId="0">
      <text>
        <r>
          <rPr>
            <b/>
            <sz val="7"/>
            <rFont val="Tahoma"/>
            <family val="2"/>
          </rPr>
          <t>TENER EN CUENTA QUE ESTA REGISTRACION TIENE AiRi, PiRi PERO NO INCLUYE AxI INTEGRAL AL INICIO DEL PNi</t>
        </r>
      </text>
    </comment>
  </commentList>
</comments>
</file>

<file path=xl/comments2.xml><?xml version="1.0" encoding="utf-8"?>
<comments xmlns="http://schemas.openxmlformats.org/spreadsheetml/2006/main">
  <authors>
    <author>FERNANDO CASALS</author>
  </authors>
  <commentList>
    <comment ref="A2" authorId="0">
      <text>
        <r>
          <rPr>
            <b/>
            <sz val="8"/>
            <rFont val="Tahoma"/>
            <family val="2"/>
          </rPr>
          <t>LOS DATOS DE ESTA PLANILLA TAMBIEN LOS ENCONTRARAN EN LOS MAYORES QUE SE MUESTRAN AL FINAL</t>
        </r>
      </text>
    </comment>
  </commentList>
</comments>
</file>

<file path=xl/comments3.xml><?xml version="1.0" encoding="utf-8"?>
<comments xmlns="http://schemas.openxmlformats.org/spreadsheetml/2006/main">
  <authors>
    <author>FERNANDO CASALS</author>
    <author>FC</author>
  </authors>
  <commentList>
    <comment ref="E22" authorId="0">
      <text>
        <r>
          <rPr>
            <b/>
            <sz val="8"/>
            <rFont val="Tahoma"/>
            <family val="2"/>
          </rPr>
          <t>SALDO DE LA CUENTA Y SU REGULARIZADORA</t>
        </r>
      </text>
    </comment>
    <comment ref="E23" authorId="1">
      <text>
        <r>
          <rPr>
            <b/>
            <sz val="8"/>
            <rFont val="Tahoma"/>
            <family val="2"/>
          </rPr>
          <t>SE CORRIJE EN INTERESES A DEVENGAR CONTRA RFT</t>
        </r>
      </text>
    </comment>
  </commentList>
</comments>
</file>

<file path=xl/comments4.xml><?xml version="1.0" encoding="utf-8"?>
<comments xmlns="http://schemas.openxmlformats.org/spreadsheetml/2006/main">
  <authors>
    <author>FC</author>
    <author>FERNANDO CASALS</author>
  </authors>
  <commentList>
    <comment ref="E23" authorId="0">
      <text>
        <r>
          <rPr>
            <b/>
            <sz val="8"/>
            <rFont val="Tahoma"/>
            <family val="2"/>
          </rPr>
          <t>SE CORRIJE EN INTERESES A DEVENGAR CONTRA RFT</t>
        </r>
      </text>
    </comment>
    <comment ref="E22" authorId="1">
      <text>
        <r>
          <rPr>
            <b/>
            <sz val="8"/>
            <rFont val="Tahoma"/>
            <family val="2"/>
          </rPr>
          <t>SALDO DE LA CUENTA Y SU REGULARIZADORA</t>
        </r>
      </text>
    </comment>
  </commentList>
</comments>
</file>

<file path=xl/comments5.xml><?xml version="1.0" encoding="utf-8"?>
<comments xmlns="http://schemas.openxmlformats.org/spreadsheetml/2006/main">
  <authors>
    <author>FERNANDO CASALS</author>
  </authors>
  <commentList>
    <comment ref="H25" authorId="0">
      <text>
        <r>
          <rPr>
            <b/>
            <sz val="9"/>
            <rFont val="Tahoma"/>
            <family val="2"/>
          </rPr>
          <t>INVENTARIO FISICO AL CIERRE MEDIDO A VALORES CORRIENTES</t>
        </r>
      </text>
    </comment>
  </commentList>
</comments>
</file>

<file path=xl/sharedStrings.xml><?xml version="1.0" encoding="utf-8"?>
<sst xmlns="http://schemas.openxmlformats.org/spreadsheetml/2006/main" count="617" uniqueCount="236">
  <si>
    <t>D</t>
  </si>
  <si>
    <t>H</t>
  </si>
  <si>
    <t>Caja</t>
  </si>
  <si>
    <t>Bco. Santander C.C.</t>
  </si>
  <si>
    <t>Deudores por ventas</t>
  </si>
  <si>
    <t>Mercaderías</t>
  </si>
  <si>
    <t>Rodados</t>
  </si>
  <si>
    <t>Amortización acumulada Rodados</t>
  </si>
  <si>
    <t>Muebles y Utilies</t>
  </si>
  <si>
    <t>Amortización acumulada M y U</t>
  </si>
  <si>
    <t>Proveedores</t>
  </si>
  <si>
    <t>Capital Suscripto</t>
  </si>
  <si>
    <t>Reserva Legal</t>
  </si>
  <si>
    <t>Resultados no asignados</t>
  </si>
  <si>
    <t>Ventas</t>
  </si>
  <si>
    <t>Costo de Ventas</t>
  </si>
  <si>
    <t>Amortización Rodados</t>
  </si>
  <si>
    <t>Amortización Muebles y utiles</t>
  </si>
  <si>
    <t>Honorarios</t>
  </si>
  <si>
    <t>Fletes Mercaderías remitidas</t>
  </si>
  <si>
    <t>TOTALES</t>
  </si>
  <si>
    <t>EL REGRESO SRL</t>
  </si>
  <si>
    <t>Saldo de Remedición RT 48.</t>
  </si>
  <si>
    <t>MERCADERIAS</t>
  </si>
  <si>
    <t>MUEBLES Y UTILES</t>
  </si>
  <si>
    <t>RODADOS</t>
  </si>
  <si>
    <t>REGISTRACION DE APERTURA</t>
  </si>
  <si>
    <t>Intereses s/activos a devengar</t>
  </si>
  <si>
    <t>intereses s/pasivos a devengar</t>
  </si>
  <si>
    <t>Mercaderias</t>
  </si>
  <si>
    <t>Dividendos a pagar en efectivo</t>
  </si>
  <si>
    <t>CIERRE ANTERIOR/REG APERT</t>
  </si>
  <si>
    <t>S. NOMIN ANTES AJUST CIERRE</t>
  </si>
  <si>
    <t>COEFIC</t>
  </si>
  <si>
    <t>REF</t>
  </si>
  <si>
    <t>IMPORTE</t>
  </si>
  <si>
    <t>SI</t>
  </si>
  <si>
    <t>DETERMINACION DE VALOR ACTUAL Y LOS INTERESES CONTENIDOS EN EL VALOR AL CIERRE</t>
  </si>
  <si>
    <t>CUENTAS POR COBRAR</t>
  </si>
  <si>
    <t>FECHA CIERRE (DD-MM-AA) .......</t>
  </si>
  <si>
    <t>CTA.</t>
  </si>
  <si>
    <t>VALOR</t>
  </si>
  <si>
    <t>F.DE VENC.</t>
  </si>
  <si>
    <t>DIAS PARA</t>
  </si>
  <si>
    <t xml:space="preserve">VALOR </t>
  </si>
  <si>
    <t>INT%</t>
  </si>
  <si>
    <t>INT. A DEDUC.</t>
  </si>
  <si>
    <t>N.</t>
  </si>
  <si>
    <t>NOMINAL</t>
  </si>
  <si>
    <t>DD-MM-AA</t>
  </si>
  <si>
    <t>VENCER</t>
  </si>
  <si>
    <t>FUTURO</t>
  </si>
  <si>
    <t>MENS.</t>
  </si>
  <si>
    <t>ACTUAL</t>
  </si>
  <si>
    <t>DEL VAL.FUT</t>
  </si>
  <si>
    <t>T</t>
  </si>
  <si>
    <t>VARIACION EN INT. A DEV. A REG.</t>
  </si>
  <si>
    <t>BIENES DE CAMBIO Y COSTO MERCADERIAS VENDIDAS</t>
  </si>
  <si>
    <t>CUENTA: MERCADERIAS</t>
  </si>
  <si>
    <t>CUENTA: COSTO MERCADERIAS VENDIDAS</t>
  </si>
  <si>
    <t>MES</t>
  </si>
  <si>
    <t>AJUSTADO</t>
  </si>
  <si>
    <t>TOTAL</t>
  </si>
  <si>
    <t>E.F. MEDIDA A VAL. CORRIENTES DE CIERRE</t>
  </si>
  <si>
    <t>SALIDAS(CV) A VAL. CORRIENTES MOMENTO DE CADA VENTA</t>
  </si>
  <si>
    <t>E.I. A VALORES CORRIENTE CIERRE ANTERIOR</t>
  </si>
  <si>
    <t>COMPRAS A VALORES MOMENTO CADA COMPRA</t>
  </si>
  <si>
    <t>RESULTADO POR TENENCIA BIENES DE CAMBIO</t>
  </si>
  <si>
    <t>COSTO MERCADERIAS VENDIDAS</t>
  </si>
  <si>
    <t>A  RFT</t>
  </si>
  <si>
    <t>S.I.</t>
  </si>
  <si>
    <t xml:space="preserve"> ACTUALIZACION BIENES DE USO AL </t>
  </si>
  <si>
    <t>BIENES.</t>
  </si>
  <si>
    <t>FECHA DE</t>
  </si>
  <si>
    <t>VIDA UTIL AL INIC.</t>
  </si>
  <si>
    <t>VALOR DE</t>
  </si>
  <si>
    <t>AMOT. ACUM.</t>
  </si>
  <si>
    <t>COEFIC.</t>
  </si>
  <si>
    <t xml:space="preserve">A C T U A L I Z A C I O N </t>
  </si>
  <si>
    <t>AMORT.DEL</t>
  </si>
  <si>
    <t>VAL. RESID</t>
  </si>
  <si>
    <t>ORIGEN</t>
  </si>
  <si>
    <t>TOT.</t>
  </si>
  <si>
    <t>TRAN</t>
  </si>
  <si>
    <t>REST</t>
  </si>
  <si>
    <t>MON.ORIGEN</t>
  </si>
  <si>
    <t>COSTO</t>
  </si>
  <si>
    <t>AMORTIZ.</t>
  </si>
  <si>
    <t>V.RESIDUAL</t>
  </si>
  <si>
    <t>EJERC.</t>
  </si>
  <si>
    <t>ACTUALIZADO</t>
  </si>
  <si>
    <t>MUEB.Y UTILES</t>
  </si>
  <si>
    <t>VAL.CONT.</t>
  </si>
  <si>
    <t>AM.AC.CONT.</t>
  </si>
  <si>
    <t>V. ACTUALIZ</t>
  </si>
  <si>
    <t>A.A.INIC. AJ.</t>
  </si>
  <si>
    <t>AM.AJUS.DEL EJ</t>
  </si>
  <si>
    <t xml:space="preserve"> </t>
  </si>
  <si>
    <t xml:space="preserve">  A A.A. MUEBLES Y UTILES</t>
  </si>
  <si>
    <t xml:space="preserve">  A A.A. RODADOS</t>
  </si>
  <si>
    <t xml:space="preserve">  A R.F.T.</t>
  </si>
  <si>
    <t>Por reexp. en moneda de cierre</t>
  </si>
  <si>
    <t>AMORT. M.Y UTILES</t>
  </si>
  <si>
    <t>AMORT. RODADOS</t>
  </si>
  <si>
    <t>Por act. Por C.P.A.M.</t>
  </si>
  <si>
    <t>CUENTAS POR PAGAR</t>
  </si>
  <si>
    <t>ACTUALIZACION DEL PATRIMONIO NETO</t>
  </si>
  <si>
    <r>
      <t>I-Aporte de los Propietarios.</t>
    </r>
    <r>
      <rPr>
        <b/>
        <sz val="11"/>
        <color indexed="10"/>
        <rFont val="Arial"/>
        <family val="2"/>
      </rPr>
      <t xml:space="preserve"> </t>
    </r>
  </si>
  <si>
    <t xml:space="preserve">I.1. CAPITAL SUSCRIPTO </t>
  </si>
  <si>
    <t xml:space="preserve">1.- Al inicio reexpr. al cierre:  </t>
  </si>
  <si>
    <t xml:space="preserve">     Capital Suscripto                         </t>
  </si>
  <si>
    <t xml:space="preserve">    Ajuste del Capital                            </t>
  </si>
  <si>
    <t xml:space="preserve">2.- Variaciones producidas en el ejercicio. </t>
  </si>
  <si>
    <t xml:space="preserve">Más: </t>
  </si>
  <si>
    <t xml:space="preserve">     Aumento de Capital (reexp. desde fecha de aumento)    </t>
  </si>
  <si>
    <t xml:space="preserve">     Capitalización de Utilidades (reexp. por coef . anual.)  </t>
  </si>
  <si>
    <t xml:space="preserve">3.- Aportes de los Propietarios al inicio +/ - variaciones producidas en el ejercicio reexp. al cierre   </t>
  </si>
  <si>
    <t xml:space="preserve">4.- Aportes de los Propietarios contabilizados al cierre: </t>
  </si>
  <si>
    <t xml:space="preserve">    Capital Suscripto                           </t>
  </si>
  <si>
    <t xml:space="preserve">    Ajuste del Capital       </t>
  </si>
  <si>
    <r>
      <t xml:space="preserve">5.- Diferencia a contabilizar en “Ajuste del capital”         </t>
    </r>
    <r>
      <rPr>
        <sz val="11"/>
        <rFont val="Arial"/>
        <family val="2"/>
      </rPr>
      <t xml:space="preserve"> </t>
    </r>
  </si>
  <si>
    <r>
      <t xml:space="preserve">II- Ganancias reservadas. </t>
    </r>
    <r>
      <rPr>
        <b/>
        <sz val="11"/>
        <color indexed="10"/>
        <rFont val="Arial"/>
        <family val="2"/>
      </rPr>
      <t xml:space="preserve"> </t>
    </r>
  </si>
  <si>
    <t xml:space="preserve">  </t>
  </si>
  <si>
    <t xml:space="preserve">1.- Reserva legal al inicio reexpresada al cierre </t>
  </si>
  <si>
    <t xml:space="preserve">2.- Variaciones: </t>
  </si>
  <si>
    <t xml:space="preserve">     Más: incrementos (reexpr. por coef. anual)            </t>
  </si>
  <si>
    <t xml:space="preserve">     Menos: disminuciones (reexpr. por coefic. anual) </t>
  </si>
  <si>
    <t xml:space="preserve">3.- Reserva legal reexpr. al cierre           </t>
  </si>
  <si>
    <t>4.- Reserva legal contabilizada al cierr</t>
  </si>
  <si>
    <t>5.- Diferencia a contabilizar en  Reserva</t>
  </si>
  <si>
    <r>
      <t>III- Resultados No Asignados.</t>
    </r>
    <r>
      <rPr>
        <b/>
        <sz val="11"/>
        <color indexed="10"/>
        <rFont val="Arial"/>
        <family val="2"/>
      </rPr>
      <t xml:space="preserve"> </t>
    </r>
  </si>
  <si>
    <t xml:space="preserve">1.- Al inicio reexpresado al cierre: </t>
  </si>
  <si>
    <t xml:space="preserve">2.- Variaciones: (excepto imputables a resultados del ejerc.) </t>
  </si>
  <si>
    <t xml:space="preserve">Menos: Asignación de Res.(reexp. por coef anual)            </t>
  </si>
  <si>
    <t xml:space="preserve">Más: Desafectación de Reservas (reexp. por coef. anual)   </t>
  </si>
  <si>
    <t>3.- Resultados no Asignados (excepto los del ejerc.) reexp. al cierre</t>
  </si>
  <si>
    <t>4.- Resultados no Asignados (excepto los del ejerc.) contab. al cierre</t>
  </si>
  <si>
    <t xml:space="preserve">5.- I Diferencia a contabilizar en Resultados no Asignados </t>
  </si>
  <si>
    <t>R.F.T.</t>
  </si>
  <si>
    <t xml:space="preserve">  A AJUSTE DEL CAPITAL</t>
  </si>
  <si>
    <t xml:space="preserve">  A RESERVA LEGAL</t>
  </si>
  <si>
    <t xml:space="preserve">  A RESULTADOS NO ASIGNADOS</t>
  </si>
  <si>
    <t>HONORARIOS</t>
  </si>
  <si>
    <t>RFT</t>
  </si>
  <si>
    <t>Intereses s/pasivos a devengar</t>
  </si>
  <si>
    <t>Ajuste del Capital</t>
  </si>
  <si>
    <t>P.A. 12-17</t>
  </si>
  <si>
    <t>Intereses cedidos</t>
  </si>
  <si>
    <t>MEDICION AL CIERRE</t>
  </si>
  <si>
    <t>DEBE</t>
  </si>
  <si>
    <t>HABER</t>
  </si>
  <si>
    <t>SALDOS</t>
  </si>
  <si>
    <t>ACTUALIZACION</t>
  </si>
  <si>
    <t>NOMINAL DEBE</t>
  </si>
  <si>
    <t>CUENTAS DE RESULTADO EXCEPTO RFT Y RESULTADOS YA AJUSTADOS EN OTROS PAPELES DE TRABAJO</t>
  </si>
  <si>
    <t>VENTAS</t>
  </si>
  <si>
    <t>FLETES MERCADERIAS REMITIDAS</t>
  </si>
  <si>
    <t xml:space="preserve"> …………….</t>
  </si>
  <si>
    <t>CUENTA: Deudores por ventas y su regularizadora</t>
  </si>
  <si>
    <t>CUENTA: Poveedores y su regularizadora</t>
  </si>
  <si>
    <t>II- Saldo de Remedición RT 48</t>
  </si>
  <si>
    <t xml:space="preserve">3.- Saldo Remedicion RT 48  reexpresado al cierre </t>
  </si>
  <si>
    <t xml:space="preserve">1.- Saldo Remedicion RT 48 al inicio reexpresado al cierre </t>
  </si>
  <si>
    <t>4.- Saldo Remedicion RT 48  contabilizado al cierr</t>
  </si>
  <si>
    <t xml:space="preserve"> Muebles y Utilies </t>
  </si>
  <si>
    <t xml:space="preserve"> Rodados </t>
  </si>
  <si>
    <t xml:space="preserve"> Amortización acumulada M y U </t>
  </si>
  <si>
    <t xml:space="preserve"> Amortización acumulada Rodados </t>
  </si>
  <si>
    <t xml:space="preserve"> Amortización Muebles y utiles </t>
  </si>
  <si>
    <t xml:space="preserve"> Reserva Legal </t>
  </si>
  <si>
    <t xml:space="preserve">  A SALDO REMEDICION RT 48</t>
  </si>
  <si>
    <t xml:space="preserve"> Saldo de Remedición RT 48. </t>
  </si>
  <si>
    <t xml:space="preserve"> Resultados no asignados </t>
  </si>
  <si>
    <t xml:space="preserve">  Ajuste del capital</t>
  </si>
  <si>
    <t>12c</t>
  </si>
  <si>
    <t>5.- Diferencia a contabilizar en  Saldo Remedición RT 48</t>
  </si>
  <si>
    <t xml:space="preserve">MEDICION ACTUAL </t>
  </si>
  <si>
    <t>ANTES DE APLICAR AJUSTE POR INFLACION</t>
  </si>
  <si>
    <t>AJUSTE POR INFLACION Y MEDICION</t>
  </si>
  <si>
    <t>ACTUALIZACION RESULTADOS</t>
  </si>
  <si>
    <t>REGISTRACIONES EN EL L. DIARIO DE LAS QUE SURGEN DE LAS HOJAS DE TRABAJO.</t>
  </si>
  <si>
    <t>ACTUALIZACION OTROS RESULTADOS</t>
  </si>
  <si>
    <t>EI</t>
  </si>
  <si>
    <t>C</t>
  </si>
  <si>
    <t>RT</t>
  </si>
  <si>
    <t>EF</t>
  </si>
  <si>
    <t>CV a Val Corr</t>
  </si>
  <si>
    <t>COMPROBAC C.V.</t>
  </si>
  <si>
    <t>SALDO AL INICIO EN MONEDA DE CIERRE</t>
  </si>
  <si>
    <t>MENOS RECLASIFICACION SALDO AL INICIO A RNA</t>
  </si>
  <si>
    <t xml:space="preserve">     Menos: disminuciones ………</t>
  </si>
  <si>
    <t>SUBTOTAL</t>
  </si>
  <si>
    <t>ABSORCION ACTUALIZACION CUENTAS DE PN AL INICIO</t>
  </si>
  <si>
    <t>SALDO AL MODIFICADO AL INICIO EN MONEDA DE CIERRE</t>
  </si>
  <si>
    <t>MAS MODIF.  RECLASIFICACION SALDO AL INICIO A RNA</t>
  </si>
  <si>
    <t>Dividentos a pagar en efectivo</t>
  </si>
  <si>
    <t>REGISTRACIONES EJERCICIO N°8 INICIADO EL 01/01/19 Y FINALIZADO EL 31/12/19</t>
  </si>
  <si>
    <r>
      <rPr>
        <b/>
        <sz val="10"/>
        <color indexed="10"/>
        <rFont val="Arial"/>
        <family val="2"/>
      </rPr>
      <t>SALDOS ANTES DE AJUSTES</t>
    </r>
    <r>
      <rPr>
        <b/>
        <sz val="10"/>
        <color indexed="8"/>
        <rFont val="Arial"/>
        <family val="2"/>
      </rPr>
      <t xml:space="preserve"> EJERCICIO N° 8 INICIADO EL 01/01/19 Y FINALIZADO EL 31/12/19</t>
    </r>
  </si>
  <si>
    <t>MEDICION CONTABILIZADA AL C.  (7000-1400)</t>
  </si>
  <si>
    <t>MEDICION CONTABILIZADA (8000-0)</t>
  </si>
  <si>
    <t>Id19/Id18</t>
  </si>
  <si>
    <t>Id19/Ie19</t>
  </si>
  <si>
    <t>Id19/If19</t>
  </si>
  <si>
    <t>Id19/Im19</t>
  </si>
  <si>
    <t>Id19/Ia19</t>
  </si>
  <si>
    <t>Id19/Ij19</t>
  </si>
  <si>
    <t>Id19/Is19</t>
  </si>
  <si>
    <t>Id19/Io19</t>
  </si>
  <si>
    <t>Id19/In19</t>
  </si>
  <si>
    <t>Id19/Id19</t>
  </si>
  <si>
    <t xml:space="preserve"> 283,4442/184,2552</t>
  </si>
  <si>
    <t xml:space="preserve"> 283,4442/189,6101</t>
  </si>
  <si>
    <t xml:space="preserve"> 283,4442/196,7501</t>
  </si>
  <si>
    <t xml:space="preserve"> 283,4442/205,9571</t>
  </si>
  <si>
    <t xml:space="preserve"> 283,4442/213,0517</t>
  </si>
  <si>
    <t xml:space="preserve"> 283,4442/219,5691</t>
  </si>
  <si>
    <t xml:space="preserve"> 283,4442/225,537</t>
  </si>
  <si>
    <t xml:space="preserve"> 283,4442/230,494</t>
  </si>
  <si>
    <t xml:space="preserve"> 283,4442/239,6077</t>
  </si>
  <si>
    <t xml:space="preserve"> 283,4442/253,7102</t>
  </si>
  <si>
    <t xml:space="preserve"> 283,4442/262,0661</t>
  </si>
  <si>
    <t xml:space="preserve"> 283,4442/273,2158</t>
  </si>
  <si>
    <t xml:space="preserve"> 283,4442/283,4442</t>
  </si>
  <si>
    <t>OJO POD.ADQ. 31/12/18</t>
  </si>
  <si>
    <t>Distribuc. en efectivo o en especie (abril/19)</t>
  </si>
  <si>
    <t>31-12-19 REG MEDICION Y REEXPESION</t>
  </si>
  <si>
    <t>AJUSTE POR MEDICION DE CREDITOS AL 31-12-19</t>
  </si>
  <si>
    <t>AJUSTE POR MEDICION DE DEUDAS AL 31-12-19</t>
  </si>
  <si>
    <t>AJUSTE POR REEXPRESION Y MEDICION MERCADERIAS AL 31-12-19</t>
  </si>
  <si>
    <t>AJUSTE POR REEXPRESION COSTO DE VENTAS AL 31-12-19</t>
  </si>
  <si>
    <t>AJUSTE POR REEXPRESION BIENES DE USO AL 31-12-19</t>
  </si>
  <si>
    <t>AJUSTE DETERMINACION AMORT DEL EJERC EN MON DE CIERRE 31/12/19</t>
  </si>
  <si>
    <t>AJUSTE POR REEXPRESION DEL PN AL 31-12-19</t>
  </si>
  <si>
    <t>AJUSTE POR REEXPRESION DEL OTRAS CTAS DE RESULT AL 31-12-19</t>
  </si>
  <si>
    <t>MAYORES EJERCICIO N. 8 INICIADO EL 01/01/19 Y FINALIZADO EL 31/12/19. EL REGRESO SRL</t>
  </si>
  <si>
    <t>SALDOS AL 31/12/19 EN MONEDA DE CIERRE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</si>
</sst>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\-yyyy"/>
    <numFmt numFmtId="173" formatCode="#,##0.00_);\(#,##0.00\)"/>
    <numFmt numFmtId="174" formatCode="_ * #,##0_ ;_ * \-#,##0_ ;_ * &quot;-&quot;??_ ;_ @_ "/>
    <numFmt numFmtId="175" formatCode="#,###.00;\(#,###.00\)"/>
    <numFmt numFmtId="176" formatCode="dd\-mm\-yy"/>
    <numFmt numFmtId="177" formatCode="0.0000_)"/>
    <numFmt numFmtId="178" formatCode="0.00_)"/>
    <numFmt numFmtId="179" formatCode="0_)"/>
    <numFmt numFmtId="180" formatCode="0.000_)"/>
    <numFmt numFmtId="181" formatCode="_ * #,##0.00000_ ;_ * \-#,##0.00000_ ;_ * &quot;-&quot;??_ ;_ @_ "/>
    <numFmt numFmtId="182" formatCode="_ * #,##0.0000_ ;_ * \-#,##0.0000_ ;_ * &quot;-&quot;??_ ;_ @_ "/>
    <numFmt numFmtId="183" formatCode="_ * #,##0.00_ ;_ * \-#,##0.00_ ;_ * &quot;-&quot;_ ;_ @_ "/>
    <numFmt numFmtId="184" formatCode="_ * #,##0.0000_ ;_ * \-#,##0.0000_ ;_ * &quot;-&quot;_ ;_ @_ "/>
    <numFmt numFmtId="185" formatCode="0.0000"/>
    <numFmt numFmtId="186" formatCode="_ * #,##0.000_ ;_ * \-#,##0.000_ ;_ * &quot;-&quot;??_ ;_ @_ "/>
    <numFmt numFmtId="187" formatCode="_ * #,##0.0000_ ;_ * \-#,##0.0000_ ;_ * &quot;-&quot;????_ ;_ @_ 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Courier"/>
      <family val="3"/>
    </font>
    <font>
      <b/>
      <sz val="10"/>
      <name val="Courier"/>
      <family val="3"/>
    </font>
    <font>
      <b/>
      <sz val="12"/>
      <color indexed="10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20"/>
      <color indexed="8"/>
      <name val="Calibri"/>
      <family val="2"/>
    </font>
    <font>
      <b/>
      <sz val="12"/>
      <color indexed="9"/>
      <name val="Arial"/>
      <family val="2"/>
    </font>
    <font>
      <b/>
      <sz val="9"/>
      <color indexed="53"/>
      <name val="Arial"/>
      <family val="2"/>
    </font>
    <font>
      <sz val="11"/>
      <color indexed="30"/>
      <name val="Calibri"/>
      <family val="2"/>
    </font>
    <font>
      <b/>
      <sz val="9"/>
      <color indexed="9"/>
      <name val="Arial"/>
      <family val="2"/>
    </font>
    <font>
      <b/>
      <sz val="10"/>
      <color indexed="3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color indexed="4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Calibri"/>
      <family val="2"/>
    </font>
    <font>
      <b/>
      <sz val="14"/>
      <color indexed="8"/>
      <name val="Arial"/>
      <family val="2"/>
    </font>
    <font>
      <b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20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sz val="9"/>
      <color theme="5" tint="-0.24997000396251678"/>
      <name val="Arial"/>
      <family val="2"/>
    </font>
    <font>
      <sz val="11"/>
      <color rgb="FF0070C0"/>
      <name val="Calibri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b/>
      <i/>
      <sz val="11"/>
      <color rgb="FF00B0F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7030A0"/>
      <name val="Calibri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E59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455">
    <xf numFmtId="0" fontId="0" fillId="0" borderId="0" xfId="0" applyFont="1" applyAlignment="1">
      <alignment/>
    </xf>
    <xf numFmtId="0" fontId="82" fillId="0" borderId="0" xfId="0" applyFont="1" applyAlignment="1">
      <alignment/>
    </xf>
    <xf numFmtId="43" fontId="82" fillId="0" borderId="10" xfId="0" applyNumberFormat="1" applyFont="1" applyBorder="1" applyAlignment="1">
      <alignment/>
    </xf>
    <xf numFmtId="43" fontId="82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3" fontId="83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0" fontId="82" fillId="33" borderId="0" xfId="0" applyFont="1" applyFill="1" applyAlignment="1">
      <alignment/>
    </xf>
    <xf numFmtId="43" fontId="0" fillId="34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17" fontId="84" fillId="33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1" xfId="0" applyFont="1" applyBorder="1" applyAlignment="1" applyProtection="1">
      <alignment horizontal="right"/>
      <protection/>
    </xf>
    <xf numFmtId="0" fontId="10" fillId="36" borderId="12" xfId="0" applyFont="1" applyFill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173" fontId="10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43" fontId="10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0" borderId="0" xfId="0" applyFont="1" applyAlignment="1" applyProtection="1">
      <alignment/>
      <protection locked="0"/>
    </xf>
    <xf numFmtId="173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>
      <alignment/>
    </xf>
    <xf numFmtId="173" fontId="10" fillId="0" borderId="0" xfId="0" applyNumberFormat="1" applyFont="1" applyAlignment="1" applyProtection="1">
      <alignment/>
      <protection/>
    </xf>
    <xf numFmtId="173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0" fillId="37" borderId="14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left"/>
    </xf>
    <xf numFmtId="4" fontId="85" fillId="34" borderId="16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18" xfId="0" applyFont="1" applyFill="1" applyBorder="1" applyAlignment="1">
      <alignment/>
    </xf>
    <xf numFmtId="173" fontId="13" fillId="38" borderId="19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73" fontId="10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73" fontId="10" fillId="0" borderId="24" xfId="0" applyNumberFormat="1" applyFont="1" applyBorder="1" applyAlignment="1">
      <alignment/>
    </xf>
    <xf numFmtId="174" fontId="15" fillId="0" borderId="0" xfId="0" applyNumberFormat="1" applyFont="1" applyAlignment="1" applyProtection="1">
      <alignment horizontal="left"/>
      <protection/>
    </xf>
    <xf numFmtId="43" fontId="16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43" fontId="15" fillId="39" borderId="12" xfId="0" applyNumberFormat="1" applyFont="1" applyFill="1" applyBorder="1" applyAlignment="1" applyProtection="1">
      <alignment horizontal="right"/>
      <protection/>
    </xf>
    <xf numFmtId="175" fontId="16" fillId="36" borderId="25" xfId="0" applyNumberFormat="1" applyFont="1" applyFill="1" applyBorder="1" applyAlignment="1">
      <alignment/>
    </xf>
    <xf numFmtId="43" fontId="15" fillId="36" borderId="12" xfId="0" applyNumberFormat="1" applyFont="1" applyFill="1" applyBorder="1" applyAlignment="1" applyProtection="1">
      <alignment/>
      <protection/>
    </xf>
    <xf numFmtId="43" fontId="15" fillId="37" borderId="13" xfId="0" applyNumberFormat="1" applyFont="1" applyFill="1" applyBorder="1" applyAlignment="1" applyProtection="1">
      <alignment/>
      <protection/>
    </xf>
    <xf numFmtId="43" fontId="15" fillId="38" borderId="0" xfId="0" applyNumberFormat="1" applyFont="1" applyFill="1" applyAlignment="1">
      <alignment horizontal="right"/>
    </xf>
    <xf numFmtId="43" fontId="15" fillId="38" borderId="0" xfId="0" applyNumberFormat="1" applyFont="1" applyFill="1" applyAlignment="1">
      <alignment/>
    </xf>
    <xf numFmtId="43" fontId="16" fillId="38" borderId="0" xfId="0" applyNumberFormat="1" applyFont="1" applyFill="1" applyAlignment="1">
      <alignment/>
    </xf>
    <xf numFmtId="43" fontId="15" fillId="38" borderId="10" xfId="0" applyNumberFormat="1" applyFont="1" applyFill="1" applyBorder="1" applyAlignment="1">
      <alignment/>
    </xf>
    <xf numFmtId="174" fontId="15" fillId="0" borderId="0" xfId="0" applyNumberFormat="1" applyFont="1" applyAlignment="1">
      <alignment/>
    </xf>
    <xf numFmtId="43" fontId="15" fillId="0" borderId="26" xfId="0" applyNumberFormat="1" applyFont="1" applyBorder="1" applyAlignment="1">
      <alignment/>
    </xf>
    <xf numFmtId="43" fontId="15" fillId="0" borderId="27" xfId="0" applyNumberFormat="1" applyFont="1" applyBorder="1" applyAlignment="1">
      <alignment/>
    </xf>
    <xf numFmtId="174" fontId="3" fillId="0" borderId="28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43" fontId="15" fillId="0" borderId="29" xfId="0" applyNumberFormat="1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43" fontId="15" fillId="0" borderId="32" xfId="0" applyNumberFormat="1" applyFont="1" applyBorder="1" applyAlignment="1">
      <alignment/>
    </xf>
    <xf numFmtId="43" fontId="15" fillId="0" borderId="31" xfId="0" applyNumberFormat="1" applyFont="1" applyBorder="1" applyAlignment="1">
      <alignment/>
    </xf>
    <xf numFmtId="174" fontId="16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80" fontId="9" fillId="0" borderId="0" xfId="0" applyNumberFormat="1" applyFont="1" applyAlignment="1" applyProtection="1">
      <alignment/>
      <protection/>
    </xf>
    <xf numFmtId="0" fontId="9" fillId="36" borderId="11" xfId="0" applyFont="1" applyFill="1" applyBorder="1" applyAlignment="1" applyProtection="1">
      <alignment horizontal="center"/>
      <protection/>
    </xf>
    <xf numFmtId="0" fontId="9" fillId="36" borderId="11" xfId="0" applyFont="1" applyFill="1" applyBorder="1" applyAlignment="1" applyProtection="1">
      <alignment horizontal="left"/>
      <protection/>
    </xf>
    <xf numFmtId="180" fontId="9" fillId="36" borderId="11" xfId="0" applyNumberFormat="1" applyFont="1" applyFill="1" applyBorder="1" applyAlignment="1" applyProtection="1">
      <alignment horizontal="center"/>
      <protection/>
    </xf>
    <xf numFmtId="177" fontId="9" fillId="36" borderId="11" xfId="0" applyNumberFormat="1" applyFont="1" applyFill="1" applyBorder="1" applyAlignment="1" applyProtection="1">
      <alignment horizontal="center"/>
      <protection/>
    </xf>
    <xf numFmtId="178" fontId="9" fillId="36" borderId="11" xfId="0" applyNumberFormat="1" applyFont="1" applyFill="1" applyBorder="1" applyAlignment="1" applyProtection="1">
      <alignment horizontal="center"/>
      <protection/>
    </xf>
    <xf numFmtId="179" fontId="9" fillId="36" borderId="33" xfId="0" applyNumberFormat="1" applyFont="1" applyFill="1" applyBorder="1" applyAlignment="1" applyProtection="1">
      <alignment horizontal="centerContinuous" wrapText="1"/>
      <protection/>
    </xf>
    <xf numFmtId="179" fontId="9" fillId="36" borderId="34" xfId="0" applyNumberFormat="1" applyFont="1" applyFill="1" applyBorder="1" applyAlignment="1" applyProtection="1">
      <alignment horizontal="centerContinuous" wrapText="1"/>
      <protection/>
    </xf>
    <xf numFmtId="179" fontId="9" fillId="36" borderId="35" xfId="0" applyNumberFormat="1" applyFont="1" applyFill="1" applyBorder="1" applyAlignment="1" applyProtection="1">
      <alignment horizontal="centerContinuous" wrapText="1"/>
      <protection/>
    </xf>
    <xf numFmtId="179" fontId="9" fillId="36" borderId="11" xfId="0" applyNumberFormat="1" applyFont="1" applyFill="1" applyBorder="1" applyAlignment="1" applyProtection="1">
      <alignment horizontal="center"/>
      <protection/>
    </xf>
    <xf numFmtId="0" fontId="9" fillId="36" borderId="36" xfId="0" applyFont="1" applyFill="1" applyBorder="1" applyAlignment="1">
      <alignment/>
    </xf>
    <xf numFmtId="0" fontId="9" fillId="36" borderId="36" xfId="0" applyFont="1" applyFill="1" applyBorder="1" applyAlignment="1" applyProtection="1">
      <alignment horizontal="center"/>
      <protection/>
    </xf>
    <xf numFmtId="177" fontId="9" fillId="36" borderId="36" xfId="0" applyNumberFormat="1" applyFont="1" applyFill="1" applyBorder="1" applyAlignment="1" applyProtection="1">
      <alignment horizontal="center"/>
      <protection/>
    </xf>
    <xf numFmtId="178" fontId="9" fillId="36" borderId="36" xfId="0" applyNumberFormat="1" applyFont="1" applyFill="1" applyBorder="1" applyAlignment="1" applyProtection="1">
      <alignment horizontal="center"/>
      <protection/>
    </xf>
    <xf numFmtId="179" fontId="9" fillId="36" borderId="36" xfId="0" applyNumberFormat="1" applyFont="1" applyFill="1" applyBorder="1" applyAlignment="1" applyProtection="1">
      <alignment horizontal="center"/>
      <protection/>
    </xf>
    <xf numFmtId="0" fontId="9" fillId="37" borderId="10" xfId="0" applyFont="1" applyFill="1" applyBorder="1" applyAlignment="1" applyProtection="1">
      <alignment horizontal="left"/>
      <protection/>
    </xf>
    <xf numFmtId="49" fontId="9" fillId="40" borderId="10" xfId="0" applyNumberFormat="1" applyFont="1" applyFill="1" applyBorder="1" applyAlignment="1" applyProtection="1">
      <alignment horizontal="left"/>
      <protection/>
    </xf>
    <xf numFmtId="179" fontId="9" fillId="41" borderId="10" xfId="0" applyNumberFormat="1" applyFont="1" applyFill="1" applyBorder="1" applyAlignment="1" applyProtection="1">
      <alignment/>
      <protection/>
    </xf>
    <xf numFmtId="39" fontId="9" fillId="42" borderId="10" xfId="0" applyNumberFormat="1" applyFont="1" applyFill="1" applyBorder="1" applyAlignment="1" applyProtection="1">
      <alignment/>
      <protection/>
    </xf>
    <xf numFmtId="39" fontId="9" fillId="37" borderId="10" xfId="0" applyNumberFormat="1" applyFont="1" applyFill="1" applyBorder="1" applyAlignment="1" applyProtection="1">
      <alignment/>
      <protection/>
    </xf>
    <xf numFmtId="39" fontId="9" fillId="41" borderId="10" xfId="0" applyNumberFormat="1" applyFont="1" applyFill="1" applyBorder="1" applyAlignment="1" applyProtection="1">
      <alignment/>
      <protection/>
    </xf>
    <xf numFmtId="39" fontId="9" fillId="43" borderId="10" xfId="0" applyNumberFormat="1" applyFont="1" applyFill="1" applyBorder="1" applyAlignment="1" applyProtection="1">
      <alignment/>
      <protection/>
    </xf>
    <xf numFmtId="0" fontId="9" fillId="37" borderId="10" xfId="0" applyFont="1" applyFill="1" applyBorder="1" applyAlignment="1">
      <alignment/>
    </xf>
    <xf numFmtId="176" fontId="21" fillId="44" borderId="10" xfId="0" applyNumberFormat="1" applyFont="1" applyFill="1" applyBorder="1" applyAlignment="1" applyProtection="1">
      <alignment horizontal="left"/>
      <protection/>
    </xf>
    <xf numFmtId="0" fontId="22" fillId="44" borderId="10" xfId="0" applyFont="1" applyFill="1" applyBorder="1" applyAlignment="1" applyProtection="1">
      <alignment horizontal="right"/>
      <protection/>
    </xf>
    <xf numFmtId="179" fontId="22" fillId="44" borderId="10" xfId="0" applyNumberFormat="1" applyFont="1" applyFill="1" applyBorder="1" applyAlignment="1" applyProtection="1">
      <alignment horizontal="right"/>
      <protection/>
    </xf>
    <xf numFmtId="179" fontId="10" fillId="44" borderId="10" xfId="0" applyNumberFormat="1" applyFont="1" applyFill="1" applyBorder="1" applyAlignment="1" applyProtection="1">
      <alignment/>
      <protection/>
    </xf>
    <xf numFmtId="49" fontId="9" fillId="40" borderId="10" xfId="0" applyNumberFormat="1" applyFont="1" applyFill="1" applyBorder="1" applyAlignment="1" quotePrefix="1">
      <alignment horizontal="left"/>
    </xf>
    <xf numFmtId="37" fontId="9" fillId="41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left"/>
      <protection/>
    </xf>
    <xf numFmtId="179" fontId="9" fillId="0" borderId="10" xfId="0" applyNumberFormat="1" applyFont="1" applyFill="1" applyBorder="1" applyAlignment="1" applyProtection="1">
      <alignment/>
      <protection/>
    </xf>
    <xf numFmtId="0" fontId="9" fillId="41" borderId="10" xfId="0" applyFont="1" applyFill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39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41" fontId="23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9" fillId="38" borderId="0" xfId="0" applyFont="1" applyFill="1" applyBorder="1" applyAlignment="1" applyProtection="1">
      <alignment/>
      <protection/>
    </xf>
    <xf numFmtId="0" fontId="19" fillId="38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73" fontId="10" fillId="0" borderId="0" xfId="0" applyNumberFormat="1" applyFont="1" applyAlignment="1">
      <alignment/>
    </xf>
    <xf numFmtId="173" fontId="12" fillId="0" borderId="0" xfId="0" applyNumberFormat="1" applyFont="1" applyAlignment="1" applyProtection="1">
      <alignment/>
      <protection locked="0"/>
    </xf>
    <xf numFmtId="4" fontId="13" fillId="0" borderId="0" xfId="0" applyNumberFormat="1" applyFont="1" applyFill="1" applyAlignment="1">
      <alignment/>
    </xf>
    <xf numFmtId="173" fontId="10" fillId="0" borderId="27" xfId="0" applyNumberFormat="1" applyFont="1" applyBorder="1" applyAlignment="1">
      <alignment/>
    </xf>
    <xf numFmtId="173" fontId="10" fillId="0" borderId="29" xfId="0" applyNumberFormat="1" applyFont="1" applyBorder="1" applyAlignment="1">
      <alignment/>
    </xf>
    <xf numFmtId="0" fontId="10" fillId="37" borderId="20" xfId="0" applyFont="1" applyFill="1" applyBorder="1" applyAlignment="1">
      <alignment horizontal="left"/>
    </xf>
    <xf numFmtId="0" fontId="10" fillId="37" borderId="21" xfId="0" applyFont="1" applyFill="1" applyBorder="1" applyAlignment="1">
      <alignment horizontal="left"/>
    </xf>
    <xf numFmtId="0" fontId="10" fillId="37" borderId="37" xfId="0" applyFont="1" applyFill="1" applyBorder="1" applyAlignment="1">
      <alignment horizontal="left"/>
    </xf>
    <xf numFmtId="4" fontId="85" fillId="34" borderId="32" xfId="0" applyNumberFormat="1" applyFont="1" applyFill="1" applyBorder="1" applyAlignment="1">
      <alignment horizontal="right"/>
    </xf>
    <xf numFmtId="17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1" xfId="0" applyFont="1" applyBorder="1" applyAlignment="1">
      <alignment/>
    </xf>
    <xf numFmtId="173" fontId="10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43" fontId="17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17" fillId="38" borderId="28" xfId="0" applyFont="1" applyFill="1" applyBorder="1" applyAlignment="1">
      <alignment/>
    </xf>
    <xf numFmtId="43" fontId="17" fillId="38" borderId="27" xfId="0" applyNumberFormat="1" applyFont="1" applyFill="1" applyBorder="1" applyAlignment="1">
      <alignment/>
    </xf>
    <xf numFmtId="0" fontId="17" fillId="38" borderId="38" xfId="0" applyFont="1" applyFill="1" applyBorder="1" applyAlignment="1">
      <alignment/>
    </xf>
    <xf numFmtId="43" fontId="17" fillId="38" borderId="10" xfId="0" applyNumberFormat="1" applyFont="1" applyFill="1" applyBorder="1" applyAlignment="1">
      <alignment/>
    </xf>
    <xf numFmtId="43" fontId="17" fillId="38" borderId="29" xfId="0" applyNumberFormat="1" applyFont="1" applyFill="1" applyBorder="1" applyAlignment="1">
      <alignment/>
    </xf>
    <xf numFmtId="0" fontId="17" fillId="38" borderId="30" xfId="0" applyFont="1" applyFill="1" applyBorder="1" applyAlignment="1">
      <alignment/>
    </xf>
    <xf numFmtId="43" fontId="17" fillId="38" borderId="31" xfId="0" applyNumberFormat="1" applyFont="1" applyFill="1" applyBorder="1" applyAlignment="1">
      <alignment/>
    </xf>
    <xf numFmtId="174" fontId="6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7" fillId="35" borderId="10" xfId="0" applyNumberFormat="1" applyFont="1" applyFill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10" fillId="0" borderId="12" xfId="0" applyNumberFormat="1" applyFont="1" applyBorder="1" applyAlignment="1" applyProtection="1">
      <alignment/>
      <protection/>
    </xf>
    <xf numFmtId="173" fontId="9" fillId="33" borderId="12" xfId="0" applyNumberFormat="1" applyFont="1" applyFill="1" applyBorder="1" applyAlignment="1" applyProtection="1">
      <alignment/>
      <protection locked="0"/>
    </xf>
    <xf numFmtId="43" fontId="16" fillId="45" borderId="22" xfId="0" applyNumberFormat="1" applyFont="1" applyFill="1" applyBorder="1" applyAlignment="1">
      <alignment/>
    </xf>
    <xf numFmtId="174" fontId="3" fillId="0" borderId="31" xfId="0" applyNumberFormat="1" applyFont="1" applyBorder="1" applyAlignment="1">
      <alignment horizontal="left"/>
    </xf>
    <xf numFmtId="43" fontId="17" fillId="37" borderId="33" xfId="0" applyNumberFormat="1" applyFont="1" applyFill="1" applyBorder="1" applyAlignment="1" applyProtection="1">
      <alignment horizontal="center"/>
      <protection/>
    </xf>
    <xf numFmtId="43" fontId="17" fillId="37" borderId="35" xfId="0" applyNumberFormat="1" applyFont="1" applyFill="1" applyBorder="1" applyAlignment="1" applyProtection="1">
      <alignment horizontal="center"/>
      <protection/>
    </xf>
    <xf numFmtId="175" fontId="16" fillId="36" borderId="36" xfId="0" applyNumberFormat="1" applyFont="1" applyFill="1" applyBorder="1" applyAlignment="1">
      <alignment/>
    </xf>
    <xf numFmtId="175" fontId="16" fillId="36" borderId="13" xfId="0" applyNumberFormat="1" applyFont="1" applyFill="1" applyBorder="1" applyAlignment="1">
      <alignment/>
    </xf>
    <xf numFmtId="43" fontId="3" fillId="38" borderId="10" xfId="0" applyNumberFormat="1" applyFont="1" applyFill="1" applyBorder="1" applyAlignment="1">
      <alignment/>
    </xf>
    <xf numFmtId="43" fontId="18" fillId="38" borderId="10" xfId="0" applyNumberFormat="1" applyFont="1" applyFill="1" applyBorder="1" applyAlignment="1">
      <alignment horizontal="left"/>
    </xf>
    <xf numFmtId="43" fontId="3" fillId="38" borderId="10" xfId="0" applyNumberFormat="1" applyFont="1" applyFill="1" applyBorder="1" applyAlignment="1">
      <alignment horizontal="left"/>
    </xf>
    <xf numFmtId="43" fontId="15" fillId="0" borderId="39" xfId="0" applyNumberFormat="1" applyFont="1" applyBorder="1" applyAlignment="1">
      <alignment/>
    </xf>
    <xf numFmtId="43" fontId="15" fillId="0" borderId="40" xfId="0" applyNumberFormat="1" applyFont="1" applyBorder="1" applyAlignment="1">
      <alignment/>
    </xf>
    <xf numFmtId="43" fontId="15" fillId="0" borderId="41" xfId="0" applyNumberFormat="1" applyFont="1" applyBorder="1" applyAlignment="1">
      <alignment/>
    </xf>
    <xf numFmtId="43" fontId="15" fillId="36" borderId="12" xfId="0" applyNumberFormat="1" applyFont="1" applyFill="1" applyBorder="1" applyAlignment="1" applyProtection="1">
      <alignment horizontal="center"/>
      <protection/>
    </xf>
    <xf numFmtId="43" fontId="15" fillId="46" borderId="0" xfId="0" applyNumberFormat="1" applyFont="1" applyFill="1" applyAlignment="1">
      <alignment horizontal="right"/>
    </xf>
    <xf numFmtId="0" fontId="18" fillId="37" borderId="10" xfId="0" applyFont="1" applyFill="1" applyBorder="1" applyAlignment="1">
      <alignment/>
    </xf>
    <xf numFmtId="43" fontId="15" fillId="46" borderId="12" xfId="0" applyNumberFormat="1" applyFont="1" applyFill="1" applyBorder="1" applyAlignment="1">
      <alignment horizontal="right"/>
    </xf>
    <xf numFmtId="182" fontId="17" fillId="0" borderId="0" xfId="0" applyNumberFormat="1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" fontId="86" fillId="14" borderId="0" xfId="0" applyNumberFormat="1" applyFont="1" applyFill="1" applyAlignment="1">
      <alignment horizontal="left"/>
    </xf>
    <xf numFmtId="43" fontId="87" fillId="0" borderId="10" xfId="0" applyNumberFormat="1" applyFont="1" applyBorder="1" applyAlignment="1">
      <alignment/>
    </xf>
    <xf numFmtId="43" fontId="83" fillId="0" borderId="10" xfId="0" applyNumberFormat="1" applyFont="1" applyFill="1" applyBorder="1" applyAlignment="1">
      <alignment/>
    </xf>
    <xf numFmtId="4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43" fontId="83" fillId="0" borderId="42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6" fillId="35" borderId="24" xfId="0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43" fontId="89" fillId="34" borderId="10" xfId="0" applyNumberFormat="1" applyFont="1" applyFill="1" applyBorder="1" applyAlignment="1">
      <alignment/>
    </xf>
    <xf numFmtId="174" fontId="89" fillId="34" borderId="10" xfId="0" applyNumberFormat="1" applyFont="1" applyFill="1" applyBorder="1" applyAlignment="1">
      <alignment horizontal="center"/>
    </xf>
    <xf numFmtId="174" fontId="83" fillId="0" borderId="10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183" fontId="9" fillId="42" borderId="10" xfId="0" applyNumberFormat="1" applyFont="1" applyFill="1" applyBorder="1" applyAlignment="1">
      <alignment/>
    </xf>
    <xf numFmtId="183" fontId="9" fillId="42" borderId="10" xfId="0" applyNumberFormat="1" applyFont="1" applyFill="1" applyBorder="1" applyAlignment="1" applyProtection="1">
      <alignment/>
      <protection/>
    </xf>
    <xf numFmtId="183" fontId="9" fillId="37" borderId="10" xfId="0" applyNumberFormat="1" applyFont="1" applyFill="1" applyBorder="1" applyAlignment="1" applyProtection="1">
      <alignment/>
      <protection/>
    </xf>
    <xf numFmtId="183" fontId="9" fillId="41" borderId="10" xfId="0" applyNumberFormat="1" applyFont="1" applyFill="1" applyBorder="1" applyAlignment="1" applyProtection="1">
      <alignment/>
      <protection/>
    </xf>
    <xf numFmtId="183" fontId="9" fillId="43" borderId="10" xfId="0" applyNumberFormat="1" applyFont="1" applyFill="1" applyBorder="1" applyAlignment="1" applyProtection="1">
      <alignment/>
      <protection/>
    </xf>
    <xf numFmtId="183" fontId="23" fillId="0" borderId="10" xfId="0" applyNumberFormat="1" applyFont="1" applyFill="1" applyBorder="1" applyAlignment="1" applyProtection="1">
      <alignment/>
      <protection/>
    </xf>
    <xf numFmtId="183" fontId="9" fillId="0" borderId="10" xfId="0" applyNumberFormat="1" applyFont="1" applyFill="1" applyBorder="1" applyAlignment="1" applyProtection="1">
      <alignment/>
      <protection/>
    </xf>
    <xf numFmtId="183" fontId="9" fillId="42" borderId="10" xfId="0" applyNumberFormat="1" applyFont="1" applyFill="1" applyBorder="1" applyAlignment="1" applyProtection="1">
      <alignment horizontal="left"/>
      <protection/>
    </xf>
    <xf numFmtId="183" fontId="9" fillId="37" borderId="10" xfId="0" applyNumberFormat="1" applyFont="1" applyFill="1" applyBorder="1" applyAlignment="1" applyProtection="1">
      <alignment horizontal="left"/>
      <protection/>
    </xf>
    <xf numFmtId="183" fontId="9" fillId="41" borderId="10" xfId="0" applyNumberFormat="1" applyFont="1" applyFill="1" applyBorder="1" applyAlignment="1" applyProtection="1">
      <alignment horizontal="left"/>
      <protection/>
    </xf>
    <xf numFmtId="183" fontId="9" fillId="43" borderId="10" xfId="0" applyNumberFormat="1" applyFont="1" applyFill="1" applyBorder="1" applyAlignment="1" applyProtection="1">
      <alignment horizontal="left"/>
      <protection/>
    </xf>
    <xf numFmtId="183" fontId="23" fillId="42" borderId="10" xfId="0" applyNumberFormat="1" applyFont="1" applyFill="1" applyBorder="1" applyAlignment="1" applyProtection="1">
      <alignment/>
      <protection/>
    </xf>
    <xf numFmtId="183" fontId="9" fillId="36" borderId="10" xfId="0" applyNumberFormat="1" applyFont="1" applyFill="1" applyBorder="1" applyAlignment="1" applyProtection="1">
      <alignment/>
      <protection/>
    </xf>
    <xf numFmtId="183" fontId="9" fillId="36" borderId="31" xfId="0" applyNumberFormat="1" applyFont="1" applyFill="1" applyBorder="1" applyAlignment="1" applyProtection="1">
      <alignment/>
      <protection/>
    </xf>
    <xf numFmtId="43" fontId="90" fillId="0" borderId="10" xfId="0" applyNumberFormat="1" applyFont="1" applyBorder="1" applyAlignment="1">
      <alignment/>
    </xf>
    <xf numFmtId="43" fontId="17" fillId="38" borderId="26" xfId="0" applyNumberFormat="1" applyFont="1" applyFill="1" applyBorder="1" applyAlignment="1">
      <alignment/>
    </xf>
    <xf numFmtId="43" fontId="17" fillId="38" borderId="32" xfId="0" applyNumberFormat="1" applyFont="1" applyFill="1" applyBorder="1" applyAlignment="1">
      <alignment/>
    </xf>
    <xf numFmtId="172" fontId="10" fillId="47" borderId="12" xfId="0" applyNumberFormat="1" applyFont="1" applyFill="1" applyBorder="1" applyAlignment="1" applyProtection="1">
      <alignment/>
      <protection locked="0"/>
    </xf>
    <xf numFmtId="0" fontId="10" fillId="47" borderId="13" xfId="0" applyFont="1" applyFill="1" applyBorder="1" applyAlignment="1" applyProtection="1">
      <alignment horizontal="center"/>
      <protection/>
    </xf>
    <xf numFmtId="0" fontId="10" fillId="47" borderId="12" xfId="0" applyFont="1" applyFill="1" applyBorder="1" applyAlignment="1" applyProtection="1">
      <alignment horizontal="center"/>
      <protection/>
    </xf>
    <xf numFmtId="173" fontId="12" fillId="47" borderId="12" xfId="0" applyNumberFormat="1" applyFont="1" applyFill="1" applyBorder="1" applyAlignment="1" applyProtection="1">
      <alignment/>
      <protection locked="0"/>
    </xf>
    <xf numFmtId="172" fontId="10" fillId="47" borderId="0" xfId="0" applyNumberFormat="1" applyFont="1" applyFill="1" applyAlignment="1" applyProtection="1">
      <alignment/>
      <protection locked="0"/>
    </xf>
    <xf numFmtId="0" fontId="10" fillId="47" borderId="11" xfId="0" applyFont="1" applyFill="1" applyBorder="1" applyAlignment="1" applyProtection="1">
      <alignment horizontal="center"/>
      <protection/>
    </xf>
    <xf numFmtId="43" fontId="12" fillId="47" borderId="12" xfId="0" applyNumberFormat="1" applyFont="1" applyFill="1" applyBorder="1" applyAlignment="1" applyProtection="1">
      <alignment/>
      <protection locked="0"/>
    </xf>
    <xf numFmtId="173" fontId="10" fillId="2" borderId="12" xfId="0" applyNumberFormat="1" applyFont="1" applyFill="1" applyBorder="1" applyAlignment="1" applyProtection="1">
      <alignment/>
      <protection locked="0"/>
    </xf>
    <xf numFmtId="0" fontId="10" fillId="47" borderId="12" xfId="0" applyFont="1" applyFill="1" applyBorder="1" applyAlignment="1" applyProtection="1">
      <alignment horizontal="centerContinuous" vertical="center"/>
      <protection/>
    </xf>
    <xf numFmtId="172" fontId="10" fillId="47" borderId="13" xfId="0" applyNumberFormat="1" applyFont="1" applyFill="1" applyBorder="1" applyAlignment="1" applyProtection="1">
      <alignment/>
      <protection locked="0"/>
    </xf>
    <xf numFmtId="43" fontId="13" fillId="47" borderId="12" xfId="0" applyNumberFormat="1" applyFont="1" applyFill="1" applyBorder="1" applyAlignment="1" applyProtection="1">
      <alignment/>
      <protection locked="0"/>
    </xf>
    <xf numFmtId="43" fontId="91" fillId="47" borderId="12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174" fontId="15" fillId="48" borderId="11" xfId="0" applyNumberFormat="1" applyFont="1" applyFill="1" applyBorder="1" applyAlignment="1">
      <alignment/>
    </xf>
    <xf numFmtId="174" fontId="15" fillId="48" borderId="36" xfId="0" applyNumberFormat="1" applyFont="1" applyFill="1" applyBorder="1" applyAlignment="1">
      <alignment/>
    </xf>
    <xf numFmtId="174" fontId="15" fillId="48" borderId="13" xfId="0" applyNumberFormat="1" applyFont="1" applyFill="1" applyBorder="1" applyAlignment="1" applyProtection="1">
      <alignment horizontal="right"/>
      <protection/>
    </xf>
    <xf numFmtId="174" fontId="15" fillId="48" borderId="36" xfId="46" applyNumberFormat="1" applyFont="1" applyFill="1" applyBorder="1" applyAlignment="1" applyProtection="1">
      <alignment horizontal="left"/>
      <protection/>
    </xf>
    <xf numFmtId="174" fontId="18" fillId="48" borderId="36" xfId="46" applyNumberFormat="1" applyFont="1" applyFill="1" applyBorder="1" applyAlignment="1" applyProtection="1">
      <alignment horizontal="left"/>
      <protection/>
    </xf>
    <xf numFmtId="181" fontId="18" fillId="48" borderId="36" xfId="46" applyNumberFormat="1" applyFont="1" applyFill="1" applyBorder="1" applyAlignment="1" applyProtection="1">
      <alignment horizontal="left"/>
      <protection/>
    </xf>
    <xf numFmtId="174" fontId="17" fillId="48" borderId="36" xfId="46" applyNumberFormat="1" applyFont="1" applyFill="1" applyBorder="1" applyAlignment="1" applyProtection="1">
      <alignment horizontal="left"/>
      <protection/>
    </xf>
    <xf numFmtId="174" fontId="15" fillId="48" borderId="13" xfId="46" applyNumberFormat="1" applyFont="1" applyFill="1" applyBorder="1" applyAlignment="1" applyProtection="1">
      <alignment horizontal="left"/>
      <protection/>
    </xf>
    <xf numFmtId="174" fontId="17" fillId="48" borderId="13" xfId="46" applyNumberFormat="1" applyFont="1" applyFill="1" applyBorder="1" applyAlignment="1" applyProtection="1">
      <alignment horizontal="left"/>
      <protection/>
    </xf>
    <xf numFmtId="174" fontId="15" fillId="48" borderId="33" xfId="0" applyNumberFormat="1" applyFont="1" applyFill="1" applyBorder="1" applyAlignment="1" applyProtection="1">
      <alignment horizontal="left"/>
      <protection/>
    </xf>
    <xf numFmtId="174" fontId="15" fillId="48" borderId="34" xfId="0" applyNumberFormat="1" applyFont="1" applyFill="1" applyBorder="1" applyAlignment="1" applyProtection="1">
      <alignment horizontal="left"/>
      <protection/>
    </xf>
    <xf numFmtId="43" fontId="15" fillId="48" borderId="35" xfId="0" applyNumberFormat="1" applyFont="1" applyFill="1" applyBorder="1" applyAlignment="1">
      <alignment/>
    </xf>
    <xf numFmtId="43" fontId="16" fillId="48" borderId="22" xfId="0" applyNumberFormat="1" applyFont="1" applyFill="1" applyBorder="1" applyAlignment="1">
      <alignment/>
    </xf>
    <xf numFmtId="43" fontId="15" fillId="47" borderId="12" xfId="0" applyNumberFormat="1" applyFont="1" applyFill="1" applyBorder="1" applyAlignment="1" applyProtection="1">
      <alignment horizontal="center"/>
      <protection/>
    </xf>
    <xf numFmtId="175" fontId="15" fillId="47" borderId="25" xfId="0" applyNumberFormat="1" applyFont="1" applyFill="1" applyBorder="1" applyAlignment="1" applyProtection="1">
      <alignment horizontal="right"/>
      <protection/>
    </xf>
    <xf numFmtId="175" fontId="15" fillId="47" borderId="11" xfId="0" applyNumberFormat="1" applyFont="1" applyFill="1" applyBorder="1" applyAlignment="1" applyProtection="1">
      <alignment horizontal="right"/>
      <protection/>
    </xf>
    <xf numFmtId="175" fontId="16" fillId="47" borderId="25" xfId="0" applyNumberFormat="1" applyFont="1" applyFill="1" applyBorder="1" applyAlignment="1">
      <alignment/>
    </xf>
    <xf numFmtId="175" fontId="16" fillId="47" borderId="36" xfId="0" applyNumberFormat="1" applyFont="1" applyFill="1" applyBorder="1" applyAlignment="1">
      <alignment/>
    </xf>
    <xf numFmtId="175" fontId="16" fillId="47" borderId="13" xfId="0" applyNumberFormat="1" applyFont="1" applyFill="1" applyBorder="1" applyAlignment="1">
      <alignment/>
    </xf>
    <xf numFmtId="43" fontId="15" fillId="47" borderId="12" xfId="0" applyNumberFormat="1" applyFont="1" applyFill="1" applyBorder="1" applyAlignment="1" applyProtection="1">
      <alignment/>
      <protection/>
    </xf>
    <xf numFmtId="174" fontId="15" fillId="38" borderId="36" xfId="46" applyNumberFormat="1" applyFont="1" applyFill="1" applyBorder="1" applyAlignment="1" applyProtection="1">
      <alignment horizontal="left"/>
      <protection/>
    </xf>
    <xf numFmtId="174" fontId="17" fillId="38" borderId="11" xfId="46" applyNumberFormat="1" applyFont="1" applyFill="1" applyBorder="1" applyAlignment="1" applyProtection="1">
      <alignment horizontal="left"/>
      <protection/>
    </xf>
    <xf numFmtId="174" fontId="18" fillId="38" borderId="36" xfId="46" applyNumberFormat="1" applyFont="1" applyFill="1" applyBorder="1" applyAlignment="1" applyProtection="1">
      <alignment horizontal="left"/>
      <protection/>
    </xf>
    <xf numFmtId="175" fontId="15" fillId="47" borderId="43" xfId="0" applyNumberFormat="1" applyFont="1" applyFill="1" applyBorder="1" applyAlignment="1" applyProtection="1">
      <alignment horizontal="right"/>
      <protection/>
    </xf>
    <xf numFmtId="175" fontId="16" fillId="47" borderId="43" xfId="0" applyNumberFormat="1" applyFont="1" applyFill="1" applyBorder="1" applyAlignment="1" applyProtection="1">
      <alignment horizontal="right"/>
      <protection/>
    </xf>
    <xf numFmtId="175" fontId="16" fillId="47" borderId="43" xfId="0" applyNumberFormat="1" applyFont="1" applyFill="1" applyBorder="1" applyAlignment="1" applyProtection="1">
      <alignment/>
      <protection/>
    </xf>
    <xf numFmtId="43" fontId="15" fillId="47" borderId="35" xfId="0" applyNumberFormat="1" applyFont="1" applyFill="1" applyBorder="1" applyAlignment="1" applyProtection="1">
      <alignment/>
      <protection/>
    </xf>
    <xf numFmtId="184" fontId="9" fillId="36" borderId="10" xfId="0" applyNumberFormat="1" applyFont="1" applyFill="1" applyBorder="1" applyAlignment="1" applyProtection="1">
      <alignment/>
      <protection/>
    </xf>
    <xf numFmtId="184" fontId="9" fillId="0" borderId="10" xfId="0" applyNumberFormat="1" applyFont="1" applyFill="1" applyBorder="1" applyAlignment="1" applyProtection="1">
      <alignment/>
      <protection/>
    </xf>
    <xf numFmtId="184" fontId="9" fillId="36" borderId="31" xfId="0" applyNumberFormat="1" applyFont="1" applyFill="1" applyBorder="1" applyAlignment="1" applyProtection="1">
      <alignment/>
      <protection/>
    </xf>
    <xf numFmtId="183" fontId="9" fillId="38" borderId="10" xfId="0" applyNumberFormat="1" applyFont="1" applyFill="1" applyBorder="1" applyAlignment="1" applyProtection="1">
      <alignment/>
      <protection/>
    </xf>
    <xf numFmtId="183" fontId="9" fillId="38" borderId="10" xfId="0" applyNumberFormat="1" applyFont="1" applyFill="1" applyBorder="1" applyAlignment="1">
      <alignment/>
    </xf>
    <xf numFmtId="39" fontId="10" fillId="0" borderId="0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41" fontId="9" fillId="42" borderId="10" xfId="0" applyNumberFormat="1" applyFont="1" applyFill="1" applyBorder="1" applyAlignment="1" applyProtection="1">
      <alignment horizontal="right"/>
      <protection/>
    </xf>
    <xf numFmtId="39" fontId="9" fillId="36" borderId="10" xfId="0" applyNumberFormat="1" applyFont="1" applyFill="1" applyBorder="1" applyAlignment="1" applyProtection="1">
      <alignment horizontal="right"/>
      <protection/>
    </xf>
    <xf numFmtId="39" fontId="10" fillId="36" borderId="10" xfId="0" applyNumberFormat="1" applyFont="1" applyFill="1" applyBorder="1" applyAlignment="1" applyProtection="1">
      <alignment horizontal="right"/>
      <protection/>
    </xf>
    <xf numFmtId="0" fontId="25" fillId="47" borderId="17" xfId="0" applyFont="1" applyFill="1" applyBorder="1" applyAlignment="1">
      <alignment horizontal="justify"/>
    </xf>
    <xf numFmtId="43" fontId="17" fillId="47" borderId="18" xfId="0" applyNumberFormat="1" applyFont="1" applyFill="1" applyBorder="1" applyAlignment="1">
      <alignment/>
    </xf>
    <xf numFmtId="182" fontId="17" fillId="47" borderId="18" xfId="0" applyNumberFormat="1" applyFont="1" applyFill="1" applyBorder="1" applyAlignment="1">
      <alignment/>
    </xf>
    <xf numFmtId="43" fontId="17" fillId="47" borderId="19" xfId="0" applyNumberFormat="1" applyFont="1" applyFill="1" applyBorder="1" applyAlignment="1">
      <alignment/>
    </xf>
    <xf numFmtId="0" fontId="14" fillId="47" borderId="25" xfId="0" applyFont="1" applyFill="1" applyBorder="1" applyAlignment="1">
      <alignment horizontal="justify"/>
    </xf>
    <xf numFmtId="43" fontId="17" fillId="47" borderId="0" xfId="0" applyNumberFormat="1" applyFont="1" applyFill="1" applyBorder="1" applyAlignment="1">
      <alignment/>
    </xf>
    <xf numFmtId="182" fontId="17" fillId="47" borderId="0" xfId="0" applyNumberFormat="1" applyFont="1" applyFill="1" applyBorder="1" applyAlignment="1">
      <alignment/>
    </xf>
    <xf numFmtId="43" fontId="17" fillId="47" borderId="43" xfId="0" applyNumberFormat="1" applyFont="1" applyFill="1" applyBorder="1" applyAlignment="1">
      <alignment/>
    </xf>
    <xf numFmtId="0" fontId="17" fillId="47" borderId="25" xfId="0" applyFont="1" applyFill="1" applyBorder="1" applyAlignment="1">
      <alignment horizontal="justify"/>
    </xf>
    <xf numFmtId="43" fontId="17" fillId="47" borderId="21" xfId="0" applyNumberFormat="1" applyFont="1" applyFill="1" applyBorder="1" applyAlignment="1">
      <alignment/>
    </xf>
    <xf numFmtId="182" fontId="17" fillId="47" borderId="21" xfId="0" applyNumberFormat="1" applyFont="1" applyFill="1" applyBorder="1" applyAlignment="1">
      <alignment/>
    </xf>
    <xf numFmtId="43" fontId="17" fillId="47" borderId="22" xfId="0" applyNumberFormat="1" applyFont="1" applyFill="1" applyBorder="1" applyAlignment="1">
      <alignment/>
    </xf>
    <xf numFmtId="0" fontId="14" fillId="47" borderId="20" xfId="0" applyFont="1" applyFill="1" applyBorder="1" applyAlignment="1">
      <alignment horizontal="justify"/>
    </xf>
    <xf numFmtId="43" fontId="14" fillId="47" borderId="35" xfId="0" applyNumberFormat="1" applyFont="1" applyFill="1" applyBorder="1" applyAlignment="1">
      <alignment/>
    </xf>
    <xf numFmtId="0" fontId="25" fillId="2" borderId="17" xfId="0" applyFont="1" applyFill="1" applyBorder="1" applyAlignment="1">
      <alignment horizontal="justify"/>
    </xf>
    <xf numFmtId="43" fontId="17" fillId="2" borderId="18" xfId="0" applyNumberFormat="1" applyFont="1" applyFill="1" applyBorder="1" applyAlignment="1">
      <alignment/>
    </xf>
    <xf numFmtId="182" fontId="17" fillId="2" borderId="18" xfId="0" applyNumberFormat="1" applyFont="1" applyFill="1" applyBorder="1" applyAlignment="1">
      <alignment/>
    </xf>
    <xf numFmtId="43" fontId="17" fillId="2" borderId="19" xfId="0" applyNumberFormat="1" applyFont="1" applyFill="1" applyBorder="1" applyAlignment="1">
      <alignment/>
    </xf>
    <xf numFmtId="0" fontId="17" fillId="2" borderId="25" xfId="0" applyFont="1" applyFill="1" applyBorder="1" applyAlignment="1">
      <alignment horizontal="justify"/>
    </xf>
    <xf numFmtId="43" fontId="17" fillId="2" borderId="0" xfId="0" applyNumberFormat="1" applyFont="1" applyFill="1" applyBorder="1" applyAlignment="1">
      <alignment/>
    </xf>
    <xf numFmtId="182" fontId="17" fillId="2" borderId="0" xfId="0" applyNumberFormat="1" applyFont="1" applyFill="1" applyBorder="1" applyAlignment="1">
      <alignment/>
    </xf>
    <xf numFmtId="43" fontId="17" fillId="2" borderId="43" xfId="0" applyNumberFormat="1" applyFont="1" applyFill="1" applyBorder="1" applyAlignment="1">
      <alignment/>
    </xf>
    <xf numFmtId="43" fontId="17" fillId="2" borderId="21" xfId="0" applyNumberFormat="1" applyFont="1" applyFill="1" applyBorder="1" applyAlignment="1">
      <alignment/>
    </xf>
    <xf numFmtId="182" fontId="17" fillId="2" borderId="21" xfId="0" applyNumberFormat="1" applyFont="1" applyFill="1" applyBorder="1" applyAlignment="1">
      <alignment/>
    </xf>
    <xf numFmtId="43" fontId="17" fillId="2" borderId="22" xfId="0" applyNumberFormat="1" applyFont="1" applyFill="1" applyBorder="1" applyAlignment="1">
      <alignment/>
    </xf>
    <xf numFmtId="0" fontId="14" fillId="2" borderId="20" xfId="0" applyFont="1" applyFill="1" applyBorder="1" applyAlignment="1">
      <alignment horizontal="justify"/>
    </xf>
    <xf numFmtId="43" fontId="14" fillId="2" borderId="44" xfId="0" applyNumberFormat="1" applyFont="1" applyFill="1" applyBorder="1" applyAlignment="1">
      <alignment/>
    </xf>
    <xf numFmtId="43" fontId="92" fillId="2" borderId="35" xfId="0" applyNumberFormat="1" applyFont="1" applyFill="1" applyBorder="1" applyAlignment="1">
      <alignment/>
    </xf>
    <xf numFmtId="43" fontId="14" fillId="47" borderId="44" xfId="0" applyNumberFormat="1" applyFont="1" applyFill="1" applyBorder="1" applyAlignment="1">
      <alignment/>
    </xf>
    <xf numFmtId="43" fontId="15" fillId="48" borderId="12" xfId="0" applyNumberFormat="1" applyFont="1" applyFill="1" applyBorder="1" applyAlignment="1" applyProtection="1">
      <alignment horizontal="center"/>
      <protection/>
    </xf>
    <xf numFmtId="175" fontId="15" fillId="48" borderId="43" xfId="0" applyNumberFormat="1" applyFont="1" applyFill="1" applyBorder="1" applyAlignment="1" applyProtection="1">
      <alignment horizontal="right"/>
      <protection/>
    </xf>
    <xf numFmtId="175" fontId="16" fillId="48" borderId="43" xfId="0" applyNumberFormat="1" applyFont="1" applyFill="1" applyBorder="1" applyAlignment="1" applyProtection="1">
      <alignment horizontal="right"/>
      <protection/>
    </xf>
    <xf numFmtId="43" fontId="15" fillId="48" borderId="35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43" fontId="27" fillId="0" borderId="0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7" fillId="0" borderId="10" xfId="0" applyNumberFormat="1" applyFont="1" applyBorder="1" applyAlignment="1">
      <alignment horizontal="center"/>
    </xf>
    <xf numFmtId="0" fontId="17" fillId="33" borderId="0" xfId="0" applyFont="1" applyFill="1" applyAlignment="1">
      <alignment/>
    </xf>
    <xf numFmtId="176" fontId="29" fillId="33" borderId="12" xfId="0" applyNumberFormat="1" applyFont="1" applyFill="1" applyBorder="1" applyAlignment="1" applyProtection="1">
      <alignment/>
      <protection/>
    </xf>
    <xf numFmtId="0" fontId="81" fillId="0" borderId="0" xfId="0" applyFont="1" applyAlignment="1">
      <alignment/>
    </xf>
    <xf numFmtId="175" fontId="93" fillId="47" borderId="43" xfId="0" applyNumberFormat="1" applyFont="1" applyFill="1" applyBorder="1" applyAlignment="1" applyProtection="1">
      <alignment horizontal="right"/>
      <protection/>
    </xf>
    <xf numFmtId="43" fontId="93" fillId="47" borderId="35" xfId="0" applyNumberFormat="1" applyFont="1" applyFill="1" applyBorder="1" applyAlignment="1" applyProtection="1">
      <alignment/>
      <protection/>
    </xf>
    <xf numFmtId="43" fontId="94" fillId="48" borderId="22" xfId="0" applyNumberFormat="1" applyFont="1" applyFill="1" applyBorder="1" applyAlignment="1">
      <alignment/>
    </xf>
    <xf numFmtId="43" fontId="93" fillId="46" borderId="0" xfId="0" applyNumberFormat="1" applyFont="1" applyFill="1" applyAlignment="1">
      <alignment horizontal="right"/>
    </xf>
    <xf numFmtId="43" fontId="93" fillId="38" borderId="10" xfId="0" applyNumberFormat="1" applyFont="1" applyFill="1" applyBorder="1" applyAlignment="1">
      <alignment/>
    </xf>
    <xf numFmtId="43" fontId="93" fillId="34" borderId="10" xfId="0" applyNumberFormat="1" applyFont="1" applyFill="1" applyBorder="1" applyAlignment="1">
      <alignment/>
    </xf>
    <xf numFmtId="43" fontId="16" fillId="0" borderId="21" xfId="0" applyNumberFormat="1" applyFont="1" applyBorder="1" applyAlignment="1" applyProtection="1">
      <alignment/>
      <protection/>
    </xf>
    <xf numFmtId="181" fontId="95" fillId="38" borderId="36" xfId="46" applyNumberFormat="1" applyFont="1" applyFill="1" applyBorder="1" applyAlignment="1" applyProtection="1">
      <alignment horizontal="left"/>
      <protection/>
    </xf>
    <xf numFmtId="43" fontId="15" fillId="47" borderId="34" xfId="0" applyNumberFormat="1" applyFont="1" applyFill="1" applyBorder="1" applyAlignment="1" applyProtection="1">
      <alignment/>
      <protection/>
    </xf>
    <xf numFmtId="0" fontId="96" fillId="2" borderId="25" xfId="0" applyFont="1" applyFill="1" applyBorder="1" applyAlignment="1">
      <alignment horizontal="justify"/>
    </xf>
    <xf numFmtId="43" fontId="17" fillId="2" borderId="45" xfId="0" applyNumberFormat="1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82" fillId="49" borderId="10" xfId="0" applyNumberFormat="1" applyFont="1" applyFill="1" applyBorder="1" applyAlignment="1">
      <alignment/>
    </xf>
    <xf numFmtId="43" fontId="3" fillId="49" borderId="10" xfId="0" applyNumberFormat="1" applyFont="1" applyFill="1" applyBorder="1" applyAlignment="1">
      <alignment/>
    </xf>
    <xf numFmtId="43" fontId="8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" fontId="15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17" fontId="16" fillId="0" borderId="0" xfId="0" applyNumberFormat="1" applyFont="1" applyAlignment="1">
      <alignment/>
    </xf>
    <xf numFmtId="185" fontId="16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181" fontId="15" fillId="0" borderId="0" xfId="46" applyNumberFormat="1" applyFont="1" applyAlignment="1">
      <alignment/>
    </xf>
    <xf numFmtId="43" fontId="9" fillId="0" borderId="0" xfId="0" applyNumberFormat="1" applyFont="1" applyAlignment="1">
      <alignment/>
    </xf>
    <xf numFmtId="0" fontId="97" fillId="0" borderId="0" xfId="0" applyFont="1" applyAlignment="1">
      <alignment/>
    </xf>
    <xf numFmtId="2" fontId="9" fillId="0" borderId="0" xfId="0" applyNumberFormat="1" applyFont="1" applyAlignment="1">
      <alignment/>
    </xf>
    <xf numFmtId="43" fontId="83" fillId="33" borderId="10" xfId="0" applyNumberFormat="1" applyFont="1" applyFill="1" applyBorder="1" applyAlignment="1">
      <alignment/>
    </xf>
    <xf numFmtId="43" fontId="87" fillId="0" borderId="10" xfId="0" applyNumberFormat="1" applyFont="1" applyFill="1" applyBorder="1" applyAlignment="1">
      <alignment/>
    </xf>
    <xf numFmtId="0" fontId="90" fillId="0" borderId="0" xfId="0" applyFont="1" applyAlignment="1">
      <alignment horizontal="center"/>
    </xf>
    <xf numFmtId="0" fontId="82" fillId="33" borderId="0" xfId="0" applyFont="1" applyFill="1" applyAlignment="1">
      <alignment horizontal="center"/>
    </xf>
    <xf numFmtId="0" fontId="98" fillId="33" borderId="46" xfId="0" applyFont="1" applyFill="1" applyBorder="1" applyAlignment="1">
      <alignment horizontal="center"/>
    </xf>
    <xf numFmtId="17" fontId="99" fillId="0" borderId="40" xfId="0" applyNumberFormat="1" applyFont="1" applyBorder="1" applyAlignment="1">
      <alignment horizontal="center"/>
    </xf>
    <xf numFmtId="43" fontId="99" fillId="0" borderId="47" xfId="0" applyNumberFormat="1" applyFont="1" applyBorder="1" applyAlignment="1">
      <alignment horizontal="center"/>
    </xf>
    <xf numFmtId="43" fontId="100" fillId="0" borderId="40" xfId="0" applyNumberFormat="1" applyFont="1" applyBorder="1" applyAlignment="1">
      <alignment horizontal="center"/>
    </xf>
    <xf numFmtId="43" fontId="100" fillId="0" borderId="47" xfId="0" applyNumberFormat="1" applyFont="1" applyBorder="1" applyAlignment="1">
      <alignment horizontal="center"/>
    </xf>
    <xf numFmtId="0" fontId="90" fillId="33" borderId="46" xfId="0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37" borderId="50" xfId="0" applyFont="1" applyFill="1" applyBorder="1" applyAlignment="1">
      <alignment horizontal="left"/>
    </xf>
    <xf numFmtId="0" fontId="10" fillId="37" borderId="51" xfId="0" applyFont="1" applyFill="1" applyBorder="1" applyAlignment="1">
      <alignment horizontal="left"/>
    </xf>
    <xf numFmtId="0" fontId="10" fillId="37" borderId="52" xfId="0" applyFont="1" applyFill="1" applyBorder="1" applyAlignment="1">
      <alignment horizontal="left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43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9" fillId="2" borderId="46" xfId="0" applyFont="1" applyFill="1" applyBorder="1" applyAlignment="1" applyProtection="1">
      <alignment horizontal="left"/>
      <protection locked="0"/>
    </xf>
    <xf numFmtId="0" fontId="11" fillId="0" borderId="40" xfId="0" applyFont="1" applyFill="1" applyBorder="1" applyAlignment="1" applyProtection="1">
      <alignment horizontal="left"/>
      <protection locked="0"/>
    </xf>
    <xf numFmtId="0" fontId="11" fillId="0" borderId="49" xfId="0" applyFont="1" applyFill="1" applyBorder="1" applyAlignment="1" applyProtection="1">
      <alignment horizontal="left"/>
      <protection locked="0"/>
    </xf>
    <xf numFmtId="0" fontId="11" fillId="0" borderId="47" xfId="0" applyFont="1" applyFill="1" applyBorder="1" applyAlignment="1" applyProtection="1">
      <alignment horizontal="left"/>
      <protection locked="0"/>
    </xf>
    <xf numFmtId="0" fontId="10" fillId="37" borderId="17" xfId="0" applyFont="1" applyFill="1" applyBorder="1" applyAlignment="1">
      <alignment horizontal="left"/>
    </xf>
    <xf numFmtId="0" fontId="10" fillId="37" borderId="18" xfId="0" applyFont="1" applyFill="1" applyBorder="1" applyAlignment="1">
      <alignment horizontal="left"/>
    </xf>
    <xf numFmtId="0" fontId="10" fillId="37" borderId="54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43" fontId="17" fillId="37" borderId="33" xfId="0" applyNumberFormat="1" applyFont="1" applyFill="1" applyBorder="1" applyAlignment="1" applyProtection="1">
      <alignment horizontal="center"/>
      <protection/>
    </xf>
    <xf numFmtId="43" fontId="17" fillId="37" borderId="35" xfId="0" applyNumberFormat="1" applyFont="1" applyFill="1" applyBorder="1" applyAlignment="1" applyProtection="1">
      <alignment horizontal="center"/>
      <protection/>
    </xf>
    <xf numFmtId="43" fontId="3" fillId="38" borderId="10" xfId="0" applyNumberFormat="1" applyFont="1" applyFill="1" applyBorder="1" applyAlignment="1">
      <alignment/>
    </xf>
    <xf numFmtId="43" fontId="18" fillId="38" borderId="10" xfId="0" applyNumberFormat="1" applyFont="1" applyFill="1" applyBorder="1" applyAlignment="1">
      <alignment horizontal="left"/>
    </xf>
    <xf numFmtId="43" fontId="3" fillId="38" borderId="10" xfId="0" applyNumberFormat="1" applyFont="1" applyFill="1" applyBorder="1" applyAlignment="1">
      <alignment horizontal="left"/>
    </xf>
    <xf numFmtId="174" fontId="15" fillId="48" borderId="33" xfId="0" applyNumberFormat="1" applyFont="1" applyFill="1" applyBorder="1" applyAlignment="1" applyProtection="1">
      <alignment horizontal="center"/>
      <protection/>
    </xf>
    <xf numFmtId="174" fontId="15" fillId="48" borderId="34" xfId="0" applyNumberFormat="1" applyFont="1" applyFill="1" applyBorder="1" applyAlignment="1" applyProtection="1">
      <alignment horizontal="center"/>
      <protection/>
    </xf>
    <xf numFmtId="174" fontId="15" fillId="48" borderId="35" xfId="0" applyNumberFormat="1" applyFont="1" applyFill="1" applyBorder="1" applyAlignment="1" applyProtection="1">
      <alignment horizontal="center"/>
      <protection/>
    </xf>
    <xf numFmtId="174" fontId="3" fillId="0" borderId="30" xfId="0" applyNumberFormat="1" applyFont="1" applyBorder="1" applyAlignment="1">
      <alignment horizontal="left"/>
    </xf>
    <xf numFmtId="174" fontId="3" fillId="0" borderId="56" xfId="0" applyNumberFormat="1" applyFont="1" applyBorder="1" applyAlignment="1">
      <alignment horizontal="left"/>
    </xf>
    <xf numFmtId="174" fontId="3" fillId="0" borderId="31" xfId="0" applyNumberFormat="1" applyFont="1" applyBorder="1" applyAlignment="1">
      <alignment horizontal="left"/>
    </xf>
    <xf numFmtId="43" fontId="15" fillId="48" borderId="17" xfId="0" applyNumberFormat="1" applyFont="1" applyFill="1" applyBorder="1" applyAlignment="1" applyProtection="1">
      <alignment horizontal="center"/>
      <protection/>
    </xf>
    <xf numFmtId="43" fontId="15" fillId="48" borderId="18" xfId="0" applyNumberFormat="1" applyFont="1" applyFill="1" applyBorder="1" applyAlignment="1" applyProtection="1">
      <alignment horizontal="center"/>
      <protection/>
    </xf>
    <xf numFmtId="43" fontId="15" fillId="48" borderId="19" xfId="0" applyNumberFormat="1" applyFont="1" applyFill="1" applyBorder="1" applyAlignment="1" applyProtection="1">
      <alignment horizontal="center"/>
      <protection/>
    </xf>
    <xf numFmtId="43" fontId="15" fillId="48" borderId="25" xfId="0" applyNumberFormat="1" applyFont="1" applyFill="1" applyBorder="1" applyAlignment="1" applyProtection="1">
      <alignment horizontal="center"/>
      <protection/>
    </xf>
    <xf numFmtId="43" fontId="15" fillId="48" borderId="0" xfId="0" applyNumberFormat="1" applyFont="1" applyFill="1" applyBorder="1" applyAlignment="1" applyProtection="1">
      <alignment horizontal="center"/>
      <protection/>
    </xf>
    <xf numFmtId="43" fontId="15" fillId="48" borderId="43" xfId="0" applyNumberFormat="1" applyFont="1" applyFill="1" applyBorder="1" applyAlignment="1" applyProtection="1">
      <alignment horizontal="center"/>
      <protection/>
    </xf>
    <xf numFmtId="43" fontId="15" fillId="48" borderId="20" xfId="0" applyNumberFormat="1" applyFont="1" applyFill="1" applyBorder="1" applyAlignment="1" applyProtection="1">
      <alignment horizontal="center"/>
      <protection/>
    </xf>
    <xf numFmtId="43" fontId="15" fillId="48" borderId="21" xfId="0" applyNumberFormat="1" applyFont="1" applyFill="1" applyBorder="1" applyAlignment="1" applyProtection="1">
      <alignment horizontal="center"/>
      <protection/>
    </xf>
    <xf numFmtId="43" fontId="15" fillId="48" borderId="22" xfId="0" applyNumberFormat="1" applyFont="1" applyFill="1" applyBorder="1" applyAlignment="1" applyProtection="1">
      <alignment horizontal="center"/>
      <protection/>
    </xf>
    <xf numFmtId="43" fontId="15" fillId="37" borderId="33" xfId="0" applyNumberFormat="1" applyFont="1" applyFill="1" applyBorder="1" applyAlignment="1" applyProtection="1">
      <alignment horizontal="center"/>
      <protection/>
    </xf>
    <xf numFmtId="43" fontId="15" fillId="37" borderId="35" xfId="0" applyNumberFormat="1" applyFont="1" applyFill="1" applyBorder="1" applyAlignment="1" applyProtection="1">
      <alignment horizontal="center"/>
      <protection/>
    </xf>
    <xf numFmtId="43" fontId="15" fillId="37" borderId="34" xfId="0" applyNumberFormat="1" applyFont="1" applyFill="1" applyBorder="1" applyAlignment="1" applyProtection="1">
      <alignment horizontal="center"/>
      <protection/>
    </xf>
    <xf numFmtId="43" fontId="15" fillId="39" borderId="17" xfId="0" applyNumberFormat="1" applyFont="1" applyFill="1" applyBorder="1" applyAlignment="1" applyProtection="1">
      <alignment horizontal="center"/>
      <protection/>
    </xf>
    <xf numFmtId="43" fontId="15" fillId="39" borderId="19" xfId="0" applyNumberFormat="1" applyFont="1" applyFill="1" applyBorder="1" applyAlignment="1" applyProtection="1">
      <alignment horizontal="center"/>
      <protection/>
    </xf>
    <xf numFmtId="174" fontId="3" fillId="0" borderId="57" xfId="0" applyNumberFormat="1" applyFont="1" applyBorder="1" applyAlignment="1">
      <alignment horizontal="left"/>
    </xf>
    <xf numFmtId="174" fontId="3" fillId="0" borderId="58" xfId="0" applyNumberFormat="1" applyFont="1" applyBorder="1" applyAlignment="1">
      <alignment horizontal="left"/>
    </xf>
    <xf numFmtId="174" fontId="3" fillId="0" borderId="59" xfId="0" applyNumberFormat="1" applyFont="1" applyBorder="1" applyAlignment="1">
      <alignment horizontal="left"/>
    </xf>
    <xf numFmtId="174" fontId="3" fillId="0" borderId="55" xfId="0" applyNumberFormat="1" applyFont="1" applyBorder="1" applyAlignment="1">
      <alignment horizontal="left"/>
    </xf>
    <xf numFmtId="174" fontId="3" fillId="0" borderId="49" xfId="0" applyNumberFormat="1" applyFont="1" applyBorder="1" applyAlignment="1">
      <alignment horizontal="left"/>
    </xf>
    <xf numFmtId="174" fontId="3" fillId="0" borderId="47" xfId="0" applyNumberFormat="1" applyFont="1" applyBorder="1" applyAlignment="1">
      <alignment horizontal="left"/>
    </xf>
    <xf numFmtId="0" fontId="9" fillId="33" borderId="0" xfId="0" applyFont="1" applyFill="1" applyAlignment="1" applyProtection="1" quotePrefix="1">
      <alignment horizontal="center"/>
      <protection/>
    </xf>
    <xf numFmtId="0" fontId="9" fillId="33" borderId="43" xfId="0" applyFont="1" applyFill="1" applyBorder="1" applyAlignment="1" applyProtection="1" quotePrefix="1">
      <alignment horizontal="center"/>
      <protection/>
    </xf>
    <xf numFmtId="0" fontId="9" fillId="38" borderId="10" xfId="0" applyFont="1" applyFill="1" applyBorder="1" applyAlignment="1" applyProtection="1">
      <alignment horizontal="left"/>
      <protection/>
    </xf>
    <xf numFmtId="0" fontId="9" fillId="38" borderId="40" xfId="0" applyFont="1" applyFill="1" applyBorder="1" applyAlignment="1" applyProtection="1">
      <alignment horizontal="center"/>
      <protection/>
    </xf>
    <xf numFmtId="0" fontId="9" fillId="38" borderId="49" xfId="0" applyFont="1" applyFill="1" applyBorder="1" applyAlignment="1" applyProtection="1">
      <alignment horizontal="center"/>
      <protection/>
    </xf>
    <xf numFmtId="0" fontId="9" fillId="38" borderId="47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40" xfId="0" applyFont="1" applyFill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9" fillId="38" borderId="47" xfId="0" applyFont="1" applyFill="1" applyBorder="1" applyAlignment="1">
      <alignment horizontal="center"/>
    </xf>
    <xf numFmtId="0" fontId="9" fillId="50" borderId="40" xfId="0" applyFont="1" applyFill="1" applyBorder="1" applyAlignment="1">
      <alignment horizontal="center"/>
    </xf>
    <xf numFmtId="0" fontId="9" fillId="50" borderId="49" xfId="0" applyFont="1" applyFill="1" applyBorder="1" applyAlignment="1">
      <alignment horizontal="center"/>
    </xf>
    <xf numFmtId="0" fontId="9" fillId="50" borderId="47" xfId="0" applyFont="1" applyFill="1" applyBorder="1" applyAlignment="1">
      <alignment horizontal="center"/>
    </xf>
    <xf numFmtId="0" fontId="9" fillId="0" borderId="40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3" fillId="36" borderId="33" xfId="0" applyFont="1" applyFill="1" applyBorder="1" applyAlignment="1" applyProtection="1">
      <alignment horizontal="center"/>
      <protection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74" fontId="15" fillId="33" borderId="0" xfId="0" applyNumberFormat="1" applyFont="1" applyFill="1" applyAlignment="1" applyProtection="1">
      <alignment horizontal="center"/>
      <protection/>
    </xf>
    <xf numFmtId="174" fontId="15" fillId="48" borderId="33" xfId="0" applyNumberFormat="1" applyFont="1" applyFill="1" applyBorder="1" applyAlignment="1" applyProtection="1">
      <alignment horizontal="left"/>
      <protection/>
    </xf>
    <xf numFmtId="174" fontId="15" fillId="48" borderId="34" xfId="0" applyNumberFormat="1" applyFont="1" applyFill="1" applyBorder="1" applyAlignment="1" applyProtection="1">
      <alignment horizontal="left"/>
      <protection/>
    </xf>
    <xf numFmtId="174" fontId="15" fillId="48" borderId="35" xfId="0" applyNumberFormat="1" applyFont="1" applyFill="1" applyBorder="1" applyAlignment="1" applyProtection="1">
      <alignment horizontal="left"/>
      <protection/>
    </xf>
    <xf numFmtId="174" fontId="27" fillId="0" borderId="40" xfId="0" applyNumberFormat="1" applyFont="1" applyBorder="1" applyAlignment="1">
      <alignment horizontal="left"/>
    </xf>
    <xf numFmtId="174" fontId="27" fillId="0" borderId="49" xfId="0" applyNumberFormat="1" applyFont="1" applyBorder="1" applyAlignment="1">
      <alignment horizontal="left"/>
    </xf>
    <xf numFmtId="174" fontId="27" fillId="0" borderId="10" xfId="0" applyNumberFormat="1" applyFont="1" applyBorder="1" applyAlignment="1">
      <alignment horizontal="left"/>
    </xf>
    <xf numFmtId="174" fontId="26" fillId="0" borderId="40" xfId="0" applyNumberFormat="1" applyFont="1" applyBorder="1" applyAlignment="1">
      <alignment horizontal="center"/>
    </xf>
    <xf numFmtId="174" fontId="26" fillId="0" borderId="49" xfId="0" applyNumberFormat="1" applyFont="1" applyBorder="1" applyAlignment="1">
      <alignment horizontal="center"/>
    </xf>
    <xf numFmtId="174" fontId="26" fillId="0" borderId="47" xfId="0" applyNumberFormat="1" applyFont="1" applyBorder="1" applyAlignment="1">
      <alignment horizontal="center"/>
    </xf>
    <xf numFmtId="174" fontId="16" fillId="0" borderId="0" xfId="0" applyNumberFormat="1" applyFont="1" applyAlignment="1">
      <alignment horizontal="center"/>
    </xf>
    <xf numFmtId="174" fontId="26" fillId="0" borderId="10" xfId="0" applyNumberFormat="1" applyFont="1" applyBorder="1" applyAlignment="1">
      <alignment horizontal="left"/>
    </xf>
    <xf numFmtId="174" fontId="26" fillId="0" borderId="40" xfId="0" applyNumberFormat="1" applyFont="1" applyBorder="1" applyAlignment="1">
      <alignment horizontal="left"/>
    </xf>
    <xf numFmtId="0" fontId="81" fillId="0" borderId="0" xfId="0" applyFont="1" applyAlignment="1">
      <alignment horizontal="center"/>
    </xf>
    <xf numFmtId="0" fontId="81" fillId="33" borderId="0" xfId="0" applyFont="1" applyFill="1" applyAlignment="1">
      <alignment horizontal="center"/>
    </xf>
    <xf numFmtId="43" fontId="82" fillId="0" borderId="40" xfId="0" applyNumberFormat="1" applyFont="1" applyBorder="1" applyAlignment="1">
      <alignment horizontal="left"/>
    </xf>
    <xf numFmtId="43" fontId="82" fillId="0" borderId="49" xfId="0" applyNumberFormat="1" applyFont="1" applyBorder="1" applyAlignment="1">
      <alignment horizontal="left"/>
    </xf>
    <xf numFmtId="43" fontId="82" fillId="0" borderId="47" xfId="0" applyNumberFormat="1" applyFont="1" applyBorder="1" applyAlignment="1">
      <alignment horizontal="left"/>
    </xf>
    <xf numFmtId="43" fontId="101" fillId="0" borderId="40" xfId="0" applyNumberFormat="1" applyFont="1" applyBorder="1" applyAlignment="1">
      <alignment horizontal="left"/>
    </xf>
    <xf numFmtId="43" fontId="101" fillId="0" borderId="49" xfId="0" applyNumberFormat="1" applyFont="1" applyBorder="1" applyAlignment="1">
      <alignment horizontal="left"/>
    </xf>
    <xf numFmtId="43" fontId="101" fillId="0" borderId="47" xfId="0" applyNumberFormat="1" applyFont="1" applyBorder="1" applyAlignment="1">
      <alignment horizontal="left"/>
    </xf>
    <xf numFmtId="174" fontId="28" fillId="0" borderId="0" xfId="0" applyNumberFormat="1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174" fontId="103" fillId="0" borderId="16" xfId="0" applyNumberFormat="1" applyFont="1" applyBorder="1" applyAlignment="1">
      <alignment horizontal="center" wrapText="1"/>
    </xf>
    <xf numFmtId="174" fontId="103" fillId="0" borderId="24" xfId="0" applyNumberFormat="1" applyFont="1" applyBorder="1" applyAlignment="1">
      <alignment horizontal="center" wrapText="1"/>
    </xf>
    <xf numFmtId="43" fontId="104" fillId="0" borderId="16" xfId="0" applyNumberFormat="1" applyFont="1" applyBorder="1" applyAlignment="1">
      <alignment horizontal="center"/>
    </xf>
    <xf numFmtId="43" fontId="104" fillId="0" borderId="24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3" fontId="104" fillId="0" borderId="16" xfId="0" applyNumberFormat="1" applyFont="1" applyFill="1" applyBorder="1" applyAlignment="1">
      <alignment horizontal="center"/>
    </xf>
    <xf numFmtId="43" fontId="104" fillId="0" borderId="24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38100</xdr:rowOff>
    </xdr:from>
    <xdr:to>
      <xdr:col>8</xdr:col>
      <xdr:colOff>762000</xdr:colOff>
      <xdr:row>4</xdr:row>
      <xdr:rowOff>200025</xdr:rowOff>
    </xdr:to>
    <xdr:sp>
      <xdr:nvSpPr>
        <xdr:cNvPr id="1" name="Rectángulo 1"/>
        <xdr:cNvSpPr>
          <a:spLocks/>
        </xdr:cNvSpPr>
      </xdr:nvSpPr>
      <xdr:spPr>
        <a:xfrm>
          <a:off x="5038725" y="38100"/>
          <a:ext cx="4029075" cy="1076325"/>
        </a:xfrm>
        <a:prstGeom prst="rect">
          <a:avLst/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ENTES PEQUEÑO SE PERMITE: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 + C - EF = CV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AHORA TODO EN MONEDA DE CIERRE.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EL CV ESTARA EN MONEDA DE CIERRE Y TENDRA INCLUIDO RT DE BIENES DE CAMBIO. POR ESO SERA DIFERENTE AL DETERMINADO EN EL CASO ( A VALORES CORRIENTES)</a:t>
          </a:r>
        </a:p>
      </xdr:txBody>
    </xdr:sp>
    <xdr:clientData/>
  </xdr:twoCellAnchor>
  <xdr:twoCellAnchor>
    <xdr:from>
      <xdr:col>0</xdr:col>
      <xdr:colOff>847725</xdr:colOff>
      <xdr:row>31</xdr:row>
      <xdr:rowOff>161925</xdr:rowOff>
    </xdr:from>
    <xdr:to>
      <xdr:col>5</xdr:col>
      <xdr:colOff>409575</xdr:colOff>
      <xdr:row>35</xdr:row>
      <xdr:rowOff>76200</xdr:rowOff>
    </xdr:to>
    <xdr:sp>
      <xdr:nvSpPr>
        <xdr:cNvPr id="2" name="Rectángulo redondeado 2"/>
        <xdr:cNvSpPr>
          <a:spLocks/>
        </xdr:cNvSpPr>
      </xdr:nvSpPr>
      <xdr:spPr>
        <a:xfrm>
          <a:off x="847725" y="7334250"/>
          <a:ext cx="4162425" cy="7715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MUCHO MAS SENCILLO: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EF ………………………………….........................133.942,06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MENOS SALDO CONT. HETEROGENEO ...….88.200,00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RFT ……………………………….........………..……...45.742,06</a:t>
          </a:r>
        </a:p>
      </xdr:txBody>
    </xdr:sp>
    <xdr:clientData/>
  </xdr:twoCellAnchor>
  <xdr:twoCellAnchor>
    <xdr:from>
      <xdr:col>11</xdr:col>
      <xdr:colOff>666750</xdr:colOff>
      <xdr:row>1</xdr:row>
      <xdr:rowOff>123825</xdr:rowOff>
    </xdr:from>
    <xdr:to>
      <xdr:col>11</xdr:col>
      <xdr:colOff>885825</xdr:colOff>
      <xdr:row>2</xdr:row>
      <xdr:rowOff>104775</xdr:rowOff>
    </xdr:to>
    <xdr:sp>
      <xdr:nvSpPr>
        <xdr:cNvPr id="3" name="Multiplicar 4"/>
        <xdr:cNvSpPr>
          <a:spLocks/>
        </xdr:cNvSpPr>
      </xdr:nvSpPr>
      <xdr:spPr>
        <a:xfrm>
          <a:off x="13363575" y="352425"/>
          <a:ext cx="219075" cy="209550"/>
        </a:xfrm>
        <a:custGeom>
          <a:pathLst>
            <a:path h="184554" w="227753">
              <a:moveTo>
                <a:pt x="41037" y="61188"/>
              </a:moveTo>
              <a:lnTo>
                <a:pt x="68365" y="27463"/>
              </a:lnTo>
              <a:lnTo>
                <a:pt x="113877" y="64342"/>
              </a:lnTo>
              <a:lnTo>
                <a:pt x="159388" y="27463"/>
              </a:lnTo>
              <a:lnTo>
                <a:pt x="186716" y="61188"/>
              </a:lnTo>
              <a:lnTo>
                <a:pt x="148350" y="92277"/>
              </a:lnTo>
              <a:lnTo>
                <a:pt x="186716" y="123366"/>
              </a:lnTo>
              <a:lnTo>
                <a:pt x="159388" y="157091"/>
              </a:lnTo>
              <a:lnTo>
                <a:pt x="113877" y="120212"/>
              </a:lnTo>
              <a:lnTo>
                <a:pt x="68365" y="157091"/>
              </a:lnTo>
              <a:lnTo>
                <a:pt x="41037" y="123366"/>
              </a:lnTo>
              <a:lnTo>
                <a:pt x="79403" y="92277"/>
              </a:lnTo>
              <a:lnTo>
                <a:pt x="41037" y="61188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1076325</xdr:colOff>
      <xdr:row>1</xdr:row>
      <xdr:rowOff>161925</xdr:rowOff>
    </xdr:from>
    <xdr:to>
      <xdr:col>11</xdr:col>
      <xdr:colOff>514350</xdr:colOff>
      <xdr:row>1</xdr:row>
      <xdr:rowOff>200025</xdr:rowOff>
    </xdr:to>
    <xdr:sp>
      <xdr:nvSpPr>
        <xdr:cNvPr id="4" name="Conector recto de flecha 5"/>
        <xdr:cNvSpPr>
          <a:spLocks/>
        </xdr:cNvSpPr>
      </xdr:nvSpPr>
      <xdr:spPr>
        <a:xfrm flipV="1">
          <a:off x="11249025" y="390525"/>
          <a:ext cx="1962150" cy="38100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5"/>
  <sheetViews>
    <sheetView zoomScale="120" zoomScaleNormal="120" zoomScalePageLayoutView="0" workbookViewId="0" topLeftCell="A38">
      <selection activeCell="C55" sqref="C55"/>
    </sheetView>
  </sheetViews>
  <sheetFormatPr defaultColWidth="11.421875" defaultRowHeight="15"/>
  <cols>
    <col min="1" max="1" width="47.57421875" style="0" customWidth="1"/>
    <col min="2" max="2" width="14.421875" style="0" bestFit="1" customWidth="1"/>
    <col min="3" max="3" width="14.28125" style="0" customWidth="1"/>
    <col min="4" max="4" width="13.8515625" style="0" customWidth="1"/>
    <col min="5" max="5" width="12.421875" style="0" bestFit="1" customWidth="1"/>
  </cols>
  <sheetData>
    <row r="1" spans="1:3" ht="15">
      <c r="A1" s="327" t="s">
        <v>21</v>
      </c>
      <c r="B1" s="327"/>
      <c r="C1" s="327"/>
    </row>
    <row r="2" spans="1:3" ht="15">
      <c r="A2" s="328" t="s">
        <v>196</v>
      </c>
      <c r="B2" s="328"/>
      <c r="C2" s="328"/>
    </row>
    <row r="3" spans="1:3" ht="15">
      <c r="A3" s="329" t="s">
        <v>177</v>
      </c>
      <c r="B3" s="329"/>
      <c r="C3" s="329"/>
    </row>
    <row r="4" spans="1:3" ht="15">
      <c r="A4" s="2"/>
      <c r="B4" s="3" t="s">
        <v>0</v>
      </c>
      <c r="C4" s="3" t="s">
        <v>1</v>
      </c>
    </row>
    <row r="5" ht="15">
      <c r="A5" s="7" t="s">
        <v>26</v>
      </c>
    </row>
    <row r="6" spans="1:3" ht="15">
      <c r="A6" s="2" t="s">
        <v>2</v>
      </c>
      <c r="B6" s="4">
        <f>1000+5000</f>
        <v>6000</v>
      </c>
      <c r="C6" s="4"/>
    </row>
    <row r="7" spans="1:3" ht="15">
      <c r="A7" s="2" t="s">
        <v>3</v>
      </c>
      <c r="B7" s="4">
        <f>3500-3000</f>
        <v>500</v>
      </c>
      <c r="C7" s="4"/>
    </row>
    <row r="8" spans="1:3" ht="15">
      <c r="A8" s="2" t="s">
        <v>4</v>
      </c>
      <c r="B8" s="4">
        <f>22000+5000</f>
        <v>27000</v>
      </c>
      <c r="C8" s="4"/>
    </row>
    <row r="9" spans="1:3" ht="15">
      <c r="A9" s="2" t="s">
        <v>5</v>
      </c>
      <c r="B9" s="4">
        <f>65000+25000</f>
        <v>90000</v>
      </c>
      <c r="C9" s="4"/>
    </row>
    <row r="10" spans="1:3" ht="15">
      <c r="A10" s="2" t="s">
        <v>8</v>
      </c>
      <c r="B10" s="4">
        <f>422500+201321.25</f>
        <v>623821.25</v>
      </c>
      <c r="C10" s="4"/>
    </row>
    <row r="11" spans="1:5" ht="15">
      <c r="A11" s="2" t="s">
        <v>6</v>
      </c>
      <c r="B11" s="4">
        <f>558000+265887</f>
        <v>823887</v>
      </c>
      <c r="C11" s="4"/>
      <c r="E11" s="6"/>
    </row>
    <row r="12" spans="1:3" ht="15">
      <c r="A12" s="2" t="s">
        <v>28</v>
      </c>
      <c r="B12" s="2">
        <f>3000-2452.15</f>
        <v>547.8499999999999</v>
      </c>
      <c r="C12" s="4"/>
    </row>
    <row r="13" spans="1:4" ht="15">
      <c r="A13" s="2" t="s">
        <v>27</v>
      </c>
      <c r="B13" s="2"/>
      <c r="C13" s="2">
        <f>2000-1838.33</f>
        <v>161.67000000000007</v>
      </c>
      <c r="D13" s="6"/>
    </row>
    <row r="14" spans="1:3" ht="15">
      <c r="A14" s="2" t="s">
        <v>9</v>
      </c>
      <c r="B14" s="4"/>
      <c r="C14" s="4">
        <f>126750+122778.5</f>
        <v>249528.5</v>
      </c>
    </row>
    <row r="15" spans="1:5" ht="15">
      <c r="A15" s="2" t="s">
        <v>7</v>
      </c>
      <c r="B15" s="4"/>
      <c r="C15" s="4">
        <f>558000+265887</f>
        <v>823887</v>
      </c>
      <c r="E15" s="6">
        <f>+B11-C15</f>
        <v>0</v>
      </c>
    </row>
    <row r="16" spans="1:4" ht="15">
      <c r="A16" s="2" t="s">
        <v>10</v>
      </c>
      <c r="B16" s="4"/>
      <c r="C16" s="4">
        <v>38000</v>
      </c>
      <c r="D16" s="6"/>
    </row>
    <row r="17" spans="1:3" ht="15">
      <c r="A17" s="2" t="s">
        <v>195</v>
      </c>
      <c r="B17" s="4"/>
      <c r="C17" s="4">
        <v>20350</v>
      </c>
    </row>
    <row r="18" spans="1:3" ht="15">
      <c r="A18" s="2" t="s">
        <v>11</v>
      </c>
      <c r="B18" s="4"/>
      <c r="C18" s="4">
        <v>5000</v>
      </c>
    </row>
    <row r="19" spans="1:3" ht="15">
      <c r="A19" s="2" t="s">
        <v>145</v>
      </c>
      <c r="B19" s="4"/>
      <c r="C19" s="4">
        <v>18968.05</v>
      </c>
    </row>
    <row r="20" spans="1:3" ht="15">
      <c r="A20" s="2" t="s">
        <v>12</v>
      </c>
      <c r="B20" s="4"/>
      <c r="C20" s="4">
        <f>1000+476.5</f>
        <v>1476.5</v>
      </c>
    </row>
    <row r="21" spans="1:3" ht="15">
      <c r="A21" s="2" t="s">
        <v>22</v>
      </c>
      <c r="B21" s="4"/>
      <c r="C21" s="4">
        <f>120750+9000-(129750)</f>
        <v>0</v>
      </c>
    </row>
    <row r="22" spans="1:5" ht="15">
      <c r="A22" s="2" t="s">
        <v>13</v>
      </c>
      <c r="B22" s="4"/>
      <c r="C22" s="4">
        <f>214500+249779.99-49895.61</f>
        <v>414384.38</v>
      </c>
      <c r="D22" s="6"/>
      <c r="E22" s="6"/>
    </row>
    <row r="23" spans="1:4" ht="26.25">
      <c r="A23" s="14">
        <v>43466</v>
      </c>
      <c r="B23" s="8"/>
      <c r="C23" s="8"/>
      <c r="D23" s="311"/>
    </row>
    <row r="24" spans="1:3" ht="15">
      <c r="A24" s="312" t="s">
        <v>27</v>
      </c>
      <c r="B24" s="313">
        <v>161.67000000000007</v>
      </c>
      <c r="C24" s="313"/>
    </row>
    <row r="25" spans="1:3" ht="15">
      <c r="A25" s="312" t="s">
        <v>143</v>
      </c>
      <c r="B25" s="313"/>
      <c r="C25" s="313">
        <v>161.67</v>
      </c>
    </row>
    <row r="26" spans="1:3" ht="15">
      <c r="A26" s="312"/>
      <c r="B26" s="313"/>
      <c r="C26" s="313"/>
    </row>
    <row r="27" spans="1:3" ht="15">
      <c r="A27" s="312" t="s">
        <v>2</v>
      </c>
      <c r="B27" s="313">
        <f>22000+1000</f>
        <v>23000</v>
      </c>
      <c r="C27" s="313"/>
    </row>
    <row r="28" spans="1:3" ht="15">
      <c r="A28" s="312" t="s">
        <v>3</v>
      </c>
      <c r="B28" s="313">
        <f>5000-1000</f>
        <v>4000</v>
      </c>
      <c r="C28" s="313"/>
    </row>
    <row r="29" spans="1:3" ht="15">
      <c r="A29" s="312" t="s">
        <v>4</v>
      </c>
      <c r="B29" s="313"/>
      <c r="C29" s="313">
        <f>22000+5000</f>
        <v>27000</v>
      </c>
    </row>
    <row r="30" spans="1:3" ht="15">
      <c r="A30" s="2" t="s">
        <v>2</v>
      </c>
      <c r="B30" s="4">
        <f>(10000*1.4)+2000</f>
        <v>16000</v>
      </c>
      <c r="C30" s="4"/>
    </row>
    <row r="31" spans="1:3" ht="15">
      <c r="A31" s="2" t="s">
        <v>4</v>
      </c>
      <c r="B31" s="4">
        <f>5000*1.4</f>
        <v>7000</v>
      </c>
      <c r="C31" s="4"/>
    </row>
    <row r="32" spans="1:3" ht="15">
      <c r="A32" s="2" t="s">
        <v>14</v>
      </c>
      <c r="B32" s="4"/>
      <c r="C32" s="4">
        <f>(14000*1.4)+2000</f>
        <v>21600</v>
      </c>
    </row>
    <row r="33" spans="1:3" ht="15">
      <c r="A33" s="2" t="s">
        <v>27</v>
      </c>
      <c r="B33" s="4"/>
      <c r="C33" s="4">
        <f>1000*1.4</f>
        <v>1400</v>
      </c>
    </row>
    <row r="34" spans="1:3" ht="15">
      <c r="A34" s="2"/>
      <c r="B34" s="4"/>
      <c r="C34" s="4"/>
    </row>
    <row r="35" spans="1:3" ht="15">
      <c r="A35" s="2" t="s">
        <v>15</v>
      </c>
      <c r="B35" s="4">
        <f>10000*1.4</f>
        <v>14000</v>
      </c>
      <c r="C35" s="4"/>
    </row>
    <row r="36" spans="1:3" ht="15">
      <c r="A36" s="2" t="s">
        <v>29</v>
      </c>
      <c r="B36" s="4"/>
      <c r="C36" s="4">
        <v>14000</v>
      </c>
    </row>
    <row r="37" spans="1:3" ht="15">
      <c r="A37" s="312" t="s">
        <v>143</v>
      </c>
      <c r="B37" s="313">
        <v>547.8499999999999</v>
      </c>
      <c r="C37" s="313"/>
    </row>
    <row r="38" spans="1:3" ht="15">
      <c r="A38" s="312" t="s">
        <v>28</v>
      </c>
      <c r="B38" s="313"/>
      <c r="C38" s="313">
        <v>547.8499999999999</v>
      </c>
    </row>
    <row r="39" spans="1:3" ht="15">
      <c r="A39" s="312"/>
      <c r="B39" s="313"/>
      <c r="C39" s="313"/>
    </row>
    <row r="40" spans="1:3" ht="15">
      <c r="A40" s="312" t="s">
        <v>10</v>
      </c>
      <c r="B40" s="313">
        <v>38000</v>
      </c>
      <c r="C40" s="313"/>
    </row>
    <row r="41" spans="1:3" ht="15">
      <c r="A41" s="312" t="s">
        <v>2</v>
      </c>
      <c r="B41" s="313"/>
      <c r="C41" s="313">
        <v>38000</v>
      </c>
    </row>
    <row r="42" spans="1:4" ht="26.25">
      <c r="A42" s="14">
        <v>43525</v>
      </c>
      <c r="B42" s="8"/>
      <c r="C42" s="8"/>
      <c r="D42" s="311"/>
    </row>
    <row r="43" spans="1:3" ht="15">
      <c r="A43" s="2" t="s">
        <v>18</v>
      </c>
      <c r="B43" s="4">
        <f>(5000*1.4)-2000</f>
        <v>5000</v>
      </c>
      <c r="C43" s="4"/>
    </row>
    <row r="44" spans="1:3" ht="15">
      <c r="A44" s="2" t="s">
        <v>2</v>
      </c>
      <c r="B44" s="4"/>
      <c r="C44" s="4">
        <f>(5000*1.4)-2000</f>
        <v>5000</v>
      </c>
    </row>
    <row r="45" spans="1:3" ht="15">
      <c r="A45" s="2"/>
      <c r="B45" s="4"/>
      <c r="C45" s="4"/>
    </row>
    <row r="46" spans="1:3" ht="15">
      <c r="A46" s="2" t="s">
        <v>29</v>
      </c>
      <c r="B46" s="4">
        <f>3000*1.4</f>
        <v>4200</v>
      </c>
      <c r="C46" s="4"/>
    </row>
    <row r="47" spans="1:3" ht="15">
      <c r="A47" s="2" t="s">
        <v>3</v>
      </c>
      <c r="B47" s="4"/>
      <c r="C47" s="4">
        <f>3000*1.4</f>
        <v>4200</v>
      </c>
    </row>
    <row r="48" spans="1:4" ht="26.25">
      <c r="A48" s="14">
        <v>43556</v>
      </c>
      <c r="B48" s="8"/>
      <c r="C48" s="8"/>
      <c r="D48" s="311"/>
    </row>
    <row r="49" spans="1:3" ht="15">
      <c r="A49" s="2" t="s">
        <v>29</v>
      </c>
      <c r="B49" s="4">
        <v>8000</v>
      </c>
      <c r="C49" s="4"/>
    </row>
    <row r="50" spans="1:3" ht="15">
      <c r="A50" s="2" t="s">
        <v>10</v>
      </c>
      <c r="B50" s="4"/>
      <c r="C50" s="4">
        <v>8000</v>
      </c>
    </row>
    <row r="51" spans="1:3" ht="15">
      <c r="A51" s="2"/>
      <c r="B51" s="4"/>
      <c r="C51" s="4"/>
    </row>
    <row r="52" spans="1:3" ht="15">
      <c r="A52" s="2" t="s">
        <v>13</v>
      </c>
      <c r="B52" s="4">
        <v>10175</v>
      </c>
      <c r="C52" s="4"/>
    </row>
    <row r="53" spans="1:3" ht="15">
      <c r="A53" s="2" t="s">
        <v>30</v>
      </c>
      <c r="B53" s="4"/>
      <c r="C53" s="4">
        <v>10175</v>
      </c>
    </row>
    <row r="55" spans="2:4" ht="15">
      <c r="B55" s="310">
        <f>SUM(B6:B53)</f>
        <v>1701840.62</v>
      </c>
      <c r="C55" s="310">
        <f>SUM(C6:C53)</f>
        <v>1701840.62</v>
      </c>
      <c r="D55" s="310">
        <f>+B55-C55</f>
        <v>0</v>
      </c>
    </row>
  </sheetData>
  <sheetProtection/>
  <mergeCells count="3">
    <mergeCell ref="A1:C1"/>
    <mergeCell ref="A2:C2"/>
    <mergeCell ref="A3:C3"/>
  </mergeCells>
  <printOptions/>
  <pageMargins left="0.26" right="0.17" top="0.7480314960629921" bottom="0.7480314960629921" header="0.31496062992125984" footer="0.31496062992125984"/>
  <pageSetup cellComments="asDisplayed"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7"/>
  <sheetViews>
    <sheetView zoomScalePageLayoutView="0" workbookViewId="0" topLeftCell="A90">
      <selection activeCell="P113" sqref="P113"/>
    </sheetView>
  </sheetViews>
  <sheetFormatPr defaultColWidth="11.421875" defaultRowHeight="15"/>
  <cols>
    <col min="1" max="1" width="4.7109375" style="155" customWidth="1"/>
    <col min="2" max="2" width="12.7109375" style="9" customWidth="1"/>
    <col min="3" max="3" width="4.7109375" style="155" customWidth="1"/>
    <col min="4" max="4" width="12.7109375" style="9" customWidth="1"/>
    <col min="5" max="5" width="2.57421875" style="9" customWidth="1"/>
    <col min="6" max="6" width="4.7109375" style="155" customWidth="1"/>
    <col min="7" max="7" width="12.7109375" style="9" customWidth="1"/>
    <col min="8" max="8" width="4.7109375" style="155" customWidth="1"/>
    <col min="9" max="9" width="12.7109375" style="9" customWidth="1"/>
    <col min="10" max="10" width="2.57421875" style="9" customWidth="1"/>
    <col min="11" max="11" width="4.7109375" style="155" customWidth="1"/>
    <col min="12" max="12" width="12.7109375" style="9" customWidth="1"/>
    <col min="13" max="13" width="4.7109375" style="155" customWidth="1"/>
    <col min="14" max="14" width="12.7109375" style="9" customWidth="1"/>
    <col min="15" max="16384" width="11.421875" style="9" customWidth="1"/>
  </cols>
  <sheetData>
    <row r="1" spans="1:14" ht="19.5" thickBot="1">
      <c r="A1" s="449" t="s">
        <v>234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s="13" customFormat="1" ht="10.5" customHeight="1">
      <c r="A2" s="439" t="s">
        <v>2</v>
      </c>
      <c r="B2" s="440"/>
      <c r="C2" s="440"/>
      <c r="D2" s="441"/>
      <c r="E2" s="185"/>
      <c r="F2" s="442" t="s">
        <v>3</v>
      </c>
      <c r="G2" s="442"/>
      <c r="H2" s="442"/>
      <c r="I2" s="442"/>
      <c r="J2" s="185"/>
      <c r="K2" s="442" t="s">
        <v>4</v>
      </c>
      <c r="L2" s="442"/>
      <c r="M2" s="442"/>
      <c r="N2" s="442"/>
    </row>
    <row r="3" spans="1:14" ht="10.5" customHeight="1">
      <c r="A3" s="152" t="s">
        <v>34</v>
      </c>
      <c r="B3" s="10" t="s">
        <v>35</v>
      </c>
      <c r="C3" s="152" t="s">
        <v>34</v>
      </c>
      <c r="D3" s="10" t="s">
        <v>35</v>
      </c>
      <c r="E3" s="11"/>
      <c r="F3" s="152" t="s">
        <v>34</v>
      </c>
      <c r="G3" s="10" t="s">
        <v>35</v>
      </c>
      <c r="H3" s="152" t="s">
        <v>34</v>
      </c>
      <c r="I3" s="10" t="s">
        <v>35</v>
      </c>
      <c r="J3" s="11"/>
      <c r="K3" s="152" t="s">
        <v>34</v>
      </c>
      <c r="L3" s="10" t="s">
        <v>35</v>
      </c>
      <c r="M3" s="152" t="s">
        <v>34</v>
      </c>
      <c r="N3" s="10" t="s">
        <v>35</v>
      </c>
    </row>
    <row r="4" spans="1:14" ht="10.5" customHeight="1">
      <c r="A4" s="153" t="s">
        <v>36</v>
      </c>
      <c r="B4" s="4">
        <v>6000</v>
      </c>
      <c r="C4" s="153"/>
      <c r="D4" s="4"/>
      <c r="E4" s="12"/>
      <c r="F4" s="153" t="s">
        <v>36</v>
      </c>
      <c r="G4" s="4">
        <v>500</v>
      </c>
      <c r="H4" s="153"/>
      <c r="I4" s="4"/>
      <c r="J4" s="12"/>
      <c r="K4" s="153" t="s">
        <v>36</v>
      </c>
      <c r="L4" s="4">
        <v>27000</v>
      </c>
      <c r="M4" s="153"/>
      <c r="N4" s="4"/>
    </row>
    <row r="5" spans="1:14" ht="10.5" customHeight="1">
      <c r="A5" s="153">
        <v>1</v>
      </c>
      <c r="B5" s="4">
        <v>39000</v>
      </c>
      <c r="C5" s="153">
        <v>1</v>
      </c>
      <c r="D5" s="4">
        <v>38000</v>
      </c>
      <c r="E5" s="12"/>
      <c r="F5" s="153">
        <v>1</v>
      </c>
      <c r="G5" s="4">
        <v>4000</v>
      </c>
      <c r="H5" s="153"/>
      <c r="I5" s="4"/>
      <c r="J5" s="12"/>
      <c r="K5" s="153">
        <v>1</v>
      </c>
      <c r="L5" s="4">
        <v>7000</v>
      </c>
      <c r="M5" s="153"/>
      <c r="N5" s="4">
        <v>27000</v>
      </c>
    </row>
    <row r="6" spans="1:14" ht="10.5" customHeight="1">
      <c r="A6" s="153"/>
      <c r="B6" s="4"/>
      <c r="C6" s="153">
        <v>3</v>
      </c>
      <c r="D6" s="4">
        <v>5000</v>
      </c>
      <c r="E6" s="12"/>
      <c r="F6" s="153"/>
      <c r="G6" s="4"/>
      <c r="H6" s="153">
        <v>3</v>
      </c>
      <c r="I6" s="4">
        <v>4200</v>
      </c>
      <c r="J6" s="12"/>
      <c r="K6" s="153"/>
      <c r="L6" s="4"/>
      <c r="M6" s="153"/>
      <c r="N6" s="4"/>
    </row>
    <row r="7" spans="1:14" ht="10.5" customHeight="1">
      <c r="A7" s="153"/>
      <c r="B7" s="4"/>
      <c r="C7" s="153"/>
      <c r="D7" s="4"/>
      <c r="E7" s="12"/>
      <c r="F7" s="153"/>
      <c r="G7" s="4"/>
      <c r="H7" s="153"/>
      <c r="I7" s="4"/>
      <c r="J7" s="12"/>
      <c r="K7" s="153"/>
      <c r="L7" s="4"/>
      <c r="M7" s="153"/>
      <c r="N7" s="4"/>
    </row>
    <row r="8" spans="1:14" ht="10.5" customHeight="1">
      <c r="A8" s="153"/>
      <c r="B8" s="4"/>
      <c r="C8" s="153"/>
      <c r="D8" s="4"/>
      <c r="E8" s="12"/>
      <c r="F8" s="153"/>
      <c r="G8" s="4"/>
      <c r="H8" s="153"/>
      <c r="I8" s="4"/>
      <c r="J8" s="12"/>
      <c r="K8" s="153"/>
      <c r="L8" s="4"/>
      <c r="M8" s="153"/>
      <c r="N8" s="4"/>
    </row>
    <row r="9" spans="1:14" ht="10.5" customHeight="1">
      <c r="A9" s="186"/>
      <c r="B9" s="187">
        <f>IF((B4+B5+B6+B7+B8-D4-D5-D6-D7-D8)&gt;0,(B4+B5+B6+B7+B8-D4-D5-D6-D7-D8),0)</f>
        <v>2000</v>
      </c>
      <c r="C9" s="188"/>
      <c r="D9" s="187">
        <f>IF((B4+B5+B6+B7+B8-D4-D5-D6-D7-D8)&lt;0,-(B4+B5+B6+B7+B8-D4-D5-D6-D7-D8),0)</f>
        <v>0</v>
      </c>
      <c r="E9" s="12"/>
      <c r="F9" s="186"/>
      <c r="G9" s="187">
        <f>IF((G4+G5+G6+G7+G8-I4-I5-I6-I7-I8)&gt;0,(G4+G5+G6+G7+G8-I4-I5-I6-I7-I8),0)</f>
        <v>300</v>
      </c>
      <c r="H9" s="188"/>
      <c r="I9" s="187">
        <f>IF((G4+G5+G6+G7+G8-I4-I5-I6-I7-I8)&lt;0,-(G4+G5+G6+G7+G8-I4-I5-I6-I7-I8),0)</f>
        <v>0</v>
      </c>
      <c r="J9" s="12"/>
      <c r="K9" s="186"/>
      <c r="L9" s="187">
        <f>IF((L4+L5+L6+L7+L8-N4-N5-N6-N7-N8)&gt;0,(L4+L5+L6+L7+L8-N4-N5-N6-N7-N8),0)</f>
        <v>7000</v>
      </c>
      <c r="M9" s="188"/>
      <c r="N9" s="187">
        <f>IF((L4+L5+L6+L7+L8-N4-N5-N6-N7-N8)&lt;0,-(L4+L5+L6+L7+L8-N4-N5-N6-N7-N8),0)</f>
        <v>0</v>
      </c>
    </row>
    <row r="10" spans="1:14" ht="10.5" customHeight="1">
      <c r="A10" s="154"/>
      <c r="B10" s="12"/>
      <c r="C10" s="154"/>
      <c r="D10" s="12"/>
      <c r="E10" s="12"/>
      <c r="F10" s="154"/>
      <c r="G10" s="12"/>
      <c r="H10" s="154"/>
      <c r="I10" s="12"/>
      <c r="J10" s="12"/>
      <c r="K10" s="154"/>
      <c r="L10" s="12"/>
      <c r="M10" s="154"/>
      <c r="N10" s="12"/>
    </row>
    <row r="11" spans="1:14" s="13" customFormat="1" ht="10.5" customHeight="1">
      <c r="A11" s="443" t="s">
        <v>27</v>
      </c>
      <c r="B11" s="443"/>
      <c r="C11" s="443"/>
      <c r="D11" s="443"/>
      <c r="E11" s="156"/>
      <c r="F11" s="443" t="s">
        <v>5</v>
      </c>
      <c r="G11" s="443"/>
      <c r="H11" s="443"/>
      <c r="I11" s="443"/>
      <c r="J11" s="156"/>
      <c r="K11" s="443" t="s">
        <v>8</v>
      </c>
      <c r="L11" s="443"/>
      <c r="M11" s="443"/>
      <c r="N11" s="443"/>
    </row>
    <row r="12" spans="1:14" ht="10.5" customHeight="1">
      <c r="A12" s="152" t="s">
        <v>34</v>
      </c>
      <c r="B12" s="10" t="s">
        <v>35</v>
      </c>
      <c r="C12" s="152" t="s">
        <v>34</v>
      </c>
      <c r="D12" s="10" t="s">
        <v>35</v>
      </c>
      <c r="E12" s="11"/>
      <c r="F12" s="152" t="s">
        <v>34</v>
      </c>
      <c r="G12" s="10" t="s">
        <v>35</v>
      </c>
      <c r="H12" s="152" t="s">
        <v>34</v>
      </c>
      <c r="I12" s="10" t="s">
        <v>35</v>
      </c>
      <c r="J12" s="11"/>
      <c r="K12" s="152" t="s">
        <v>34</v>
      </c>
      <c r="L12" s="10" t="s">
        <v>35</v>
      </c>
      <c r="M12" s="152" t="s">
        <v>34</v>
      </c>
      <c r="N12" s="10" t="s">
        <v>35</v>
      </c>
    </row>
    <row r="13" spans="1:14" ht="10.5" customHeight="1">
      <c r="A13" s="153"/>
      <c r="B13" s="4"/>
      <c r="C13" s="153" t="s">
        <v>36</v>
      </c>
      <c r="D13" s="4">
        <v>161.67</v>
      </c>
      <c r="E13" s="12"/>
      <c r="F13" s="153" t="s">
        <v>36</v>
      </c>
      <c r="G13" s="4">
        <v>90000</v>
      </c>
      <c r="H13" s="153"/>
      <c r="I13" s="4"/>
      <c r="J13" s="12"/>
      <c r="K13" s="153" t="s">
        <v>36</v>
      </c>
      <c r="L13" s="4">
        <v>623821.25</v>
      </c>
      <c r="M13" s="153"/>
      <c r="N13" s="4"/>
    </row>
    <row r="14" spans="1:14" ht="10.5" customHeight="1">
      <c r="A14" s="153">
        <v>1</v>
      </c>
      <c r="B14" s="4">
        <v>161.67</v>
      </c>
      <c r="C14" s="153">
        <v>1</v>
      </c>
      <c r="D14" s="4">
        <v>1400</v>
      </c>
      <c r="E14" s="12"/>
      <c r="F14" s="153"/>
      <c r="G14" s="4"/>
      <c r="H14" s="153">
        <v>1</v>
      </c>
      <c r="I14" s="4">
        <v>14000</v>
      </c>
      <c r="J14" s="12"/>
      <c r="K14" s="189" t="s">
        <v>174</v>
      </c>
      <c r="L14" s="5">
        <v>335802.98</v>
      </c>
      <c r="M14" s="153"/>
      <c r="N14" s="4"/>
    </row>
    <row r="15" spans="1:14" ht="10.5" customHeight="1">
      <c r="A15" s="189" t="s">
        <v>174</v>
      </c>
      <c r="B15" s="4">
        <v>1335.1099999999997</v>
      </c>
      <c r="C15" s="153"/>
      <c r="D15" s="4"/>
      <c r="E15" s="12"/>
      <c r="F15" s="153">
        <v>3</v>
      </c>
      <c r="G15" s="4">
        <v>4200</v>
      </c>
      <c r="H15" s="153"/>
      <c r="I15" s="4"/>
      <c r="J15" s="12"/>
      <c r="K15" s="153"/>
      <c r="L15" s="4"/>
      <c r="M15" s="153"/>
      <c r="N15" s="4"/>
    </row>
    <row r="16" spans="1:14" ht="10.5" customHeight="1">
      <c r="A16" s="153"/>
      <c r="B16" s="4"/>
      <c r="C16" s="153"/>
      <c r="D16" s="4"/>
      <c r="E16" s="12"/>
      <c r="F16" s="153">
        <v>4</v>
      </c>
      <c r="G16" s="4">
        <v>8000</v>
      </c>
      <c r="H16" s="153"/>
      <c r="I16" s="4"/>
      <c r="J16" s="12"/>
      <c r="K16" s="153"/>
      <c r="L16" s="4"/>
      <c r="M16" s="153"/>
      <c r="N16" s="4"/>
    </row>
    <row r="17" spans="1:17" ht="10.5" customHeight="1">
      <c r="A17" s="153"/>
      <c r="B17" s="4"/>
      <c r="C17" s="153"/>
      <c r="D17" s="4"/>
      <c r="E17" s="12"/>
      <c r="F17" s="189" t="s">
        <v>174</v>
      </c>
      <c r="G17" s="5">
        <f>48800-3057.94</f>
        <v>45742.06</v>
      </c>
      <c r="H17" s="153"/>
      <c r="I17" s="4"/>
      <c r="J17" s="12"/>
      <c r="K17" s="153"/>
      <c r="L17" s="4"/>
      <c r="M17" s="153"/>
      <c r="N17" s="4"/>
      <c r="P17" s="9">
        <v>45742.06</v>
      </c>
      <c r="Q17" s="190">
        <f>+G17-P17</f>
        <v>0</v>
      </c>
    </row>
    <row r="18" spans="1:14" ht="10.5" customHeight="1">
      <c r="A18" s="186"/>
      <c r="B18" s="187">
        <f>IF((B13+B14+B15+B16+B17-D13-D14-D15-D16-D17)&gt;0,(B13+B14+B15+B16+B17-D13-D14-D15-D16-D17),0)</f>
        <v>0</v>
      </c>
      <c r="C18" s="188"/>
      <c r="D18" s="187">
        <f>IF((B13+B14+B15+B16+B17-D13-D14-D15-D16-D17)&lt;0,-(B13+B14+B15+B16+B17-D13-D14-D15-D16-D17),0)</f>
        <v>64.89000000000033</v>
      </c>
      <c r="E18" s="12"/>
      <c r="F18" s="186"/>
      <c r="G18" s="187">
        <f>IF((G13+G14+G15+G16+G17-I13-I14-I15-I16-I17)&gt;0,(G13+G14+G15+G16+G17-I13-I14-I15-I16-I17),0)</f>
        <v>133942.06</v>
      </c>
      <c r="H18" s="188"/>
      <c r="I18" s="187">
        <f>IF((G13+G14+G15+G16+G17-I13-I14-I15-I16-I17)&lt;0,-(G13+G14+G15+G16+G17-I13-I14-I15-I16-I17),0)</f>
        <v>0</v>
      </c>
      <c r="J18" s="12"/>
      <c r="K18" s="186"/>
      <c r="L18" s="187">
        <f>IF((L13+L14+L15+L16+L17-N13-N14-N15-N16-N17)&gt;0,(L13+L14+L15+L16+L17-N13-N14-N15-N16-N17),0)</f>
        <v>959624.23</v>
      </c>
      <c r="M18" s="188"/>
      <c r="N18" s="187">
        <f>IF((L13+L14+L15+L16+L17-N13-N14-N15-N16-N17)&lt;0,-(L13+L14+L15+L16+L17-N13-N14-N15-N16-N17),0)</f>
        <v>0</v>
      </c>
    </row>
    <row r="19" spans="1:14" ht="10.5" customHeight="1">
      <c r="A19" s="154"/>
      <c r="B19" s="12"/>
      <c r="C19" s="154"/>
      <c r="D19" s="12"/>
      <c r="E19" s="12"/>
      <c r="F19" s="154"/>
      <c r="G19" s="12"/>
      <c r="H19" s="154"/>
      <c r="I19" s="12"/>
      <c r="J19" s="12"/>
      <c r="K19" s="154"/>
      <c r="L19" s="12"/>
      <c r="M19" s="154"/>
      <c r="N19" s="12"/>
    </row>
    <row r="20" spans="1:14" s="13" customFormat="1" ht="10.5" customHeight="1">
      <c r="A20" s="443" t="s">
        <v>9</v>
      </c>
      <c r="B20" s="443"/>
      <c r="C20" s="443"/>
      <c r="D20" s="443"/>
      <c r="E20" s="156"/>
      <c r="F20" s="443" t="s">
        <v>6</v>
      </c>
      <c r="G20" s="443"/>
      <c r="H20" s="443"/>
      <c r="I20" s="443"/>
      <c r="J20" s="156"/>
      <c r="K20" s="443" t="s">
        <v>7</v>
      </c>
      <c r="L20" s="443"/>
      <c r="M20" s="443"/>
      <c r="N20" s="443"/>
    </row>
    <row r="21" spans="1:14" ht="10.5" customHeight="1">
      <c r="A21" s="152" t="s">
        <v>34</v>
      </c>
      <c r="B21" s="10" t="s">
        <v>35</v>
      </c>
      <c r="C21" s="152" t="s">
        <v>34</v>
      </c>
      <c r="D21" s="10" t="s">
        <v>35</v>
      </c>
      <c r="E21" s="11"/>
      <c r="F21" s="152" t="s">
        <v>34</v>
      </c>
      <c r="G21" s="10" t="s">
        <v>35</v>
      </c>
      <c r="H21" s="152" t="s">
        <v>34</v>
      </c>
      <c r="I21" s="10" t="s">
        <v>35</v>
      </c>
      <c r="J21" s="11"/>
      <c r="K21" s="152" t="s">
        <v>34</v>
      </c>
      <c r="L21" s="10" t="s">
        <v>35</v>
      </c>
      <c r="M21" s="152" t="s">
        <v>34</v>
      </c>
      <c r="N21" s="10" t="s">
        <v>35</v>
      </c>
    </row>
    <row r="22" spans="1:14" ht="10.5" customHeight="1">
      <c r="A22" s="153"/>
      <c r="B22" s="4"/>
      <c r="C22" s="153" t="s">
        <v>36</v>
      </c>
      <c r="D22" s="4">
        <v>249528.5</v>
      </c>
      <c r="E22" s="11"/>
      <c r="F22" s="153" t="s">
        <v>36</v>
      </c>
      <c r="G22" s="4">
        <v>823887</v>
      </c>
      <c r="H22" s="153"/>
      <c r="I22" s="4"/>
      <c r="J22" s="11"/>
      <c r="K22" s="153"/>
      <c r="L22" s="4"/>
      <c r="M22" s="153" t="s">
        <v>36</v>
      </c>
      <c r="N22" s="4">
        <v>823887</v>
      </c>
    </row>
    <row r="23" spans="1:14" ht="10.5" customHeight="1">
      <c r="A23" s="153"/>
      <c r="B23" s="4"/>
      <c r="C23" s="189" t="s">
        <v>174</v>
      </c>
      <c r="D23" s="5">
        <v>134321.19</v>
      </c>
      <c r="E23" s="11"/>
      <c r="F23" s="189" t="s">
        <v>174</v>
      </c>
      <c r="G23" s="5">
        <v>443498.3700000001</v>
      </c>
      <c r="H23" s="153"/>
      <c r="I23" s="4"/>
      <c r="J23" s="11"/>
      <c r="K23" s="153"/>
      <c r="L23" s="4"/>
      <c r="M23" s="189" t="s">
        <v>174</v>
      </c>
      <c r="N23" s="5">
        <v>443498.3700000001</v>
      </c>
    </row>
    <row r="24" spans="1:14" ht="10.5" customHeight="1">
      <c r="A24" s="153"/>
      <c r="B24" s="4"/>
      <c r="C24" s="189" t="s">
        <v>174</v>
      </c>
      <c r="D24" s="5">
        <v>95962.42</v>
      </c>
      <c r="E24" s="11"/>
      <c r="F24" s="153"/>
      <c r="G24" s="4"/>
      <c r="H24" s="153"/>
      <c r="I24" s="4"/>
      <c r="J24" s="11"/>
      <c r="K24" s="153"/>
      <c r="L24" s="4"/>
      <c r="M24" s="153"/>
      <c r="N24" s="4"/>
    </row>
    <row r="25" spans="1:14" ht="10.5" customHeight="1">
      <c r="A25" s="153"/>
      <c r="B25" s="4"/>
      <c r="C25" s="153"/>
      <c r="D25" s="4"/>
      <c r="E25" s="11"/>
      <c r="F25" s="153"/>
      <c r="G25" s="4"/>
      <c r="H25" s="153"/>
      <c r="I25" s="4"/>
      <c r="J25" s="11"/>
      <c r="K25" s="153"/>
      <c r="L25" s="4"/>
      <c r="M25" s="153"/>
      <c r="N25" s="4"/>
    </row>
    <row r="26" spans="1:14" ht="10.5" customHeight="1">
      <c r="A26" s="153"/>
      <c r="B26" s="4"/>
      <c r="C26" s="153"/>
      <c r="D26" s="4"/>
      <c r="E26" s="11"/>
      <c r="F26" s="153"/>
      <c r="G26" s="4"/>
      <c r="H26" s="153"/>
      <c r="I26" s="4"/>
      <c r="J26" s="11"/>
      <c r="K26" s="153"/>
      <c r="L26" s="4"/>
      <c r="M26" s="153"/>
      <c r="N26" s="4"/>
    </row>
    <row r="27" spans="1:14" ht="10.5" customHeight="1">
      <c r="A27" s="186"/>
      <c r="B27" s="187">
        <f>IF((B22+B23+B24+B25+B26-D22-D23-D24-D25-D26)&gt;0,(B22+B23+B24+B25+B26-D22-D23-D24-D25-D26),0)</f>
        <v>0</v>
      </c>
      <c r="C27" s="188"/>
      <c r="D27" s="187">
        <f>IF((B22+B23+B24+B25+B26-D22-D23-D24-D25-D26)&lt;0,-(B22+B23+B24+B25+B26-D22-D23-D24-D25-D26),0)</f>
        <v>479812.11</v>
      </c>
      <c r="E27" s="11"/>
      <c r="F27" s="186"/>
      <c r="G27" s="187">
        <f>IF((G22+G23+G24+G25+G26-I22-I23-I24-I25-I26)&gt;0,(G22+G23+G24+G25+G26-I22-I23-I24-I25-I26),0)</f>
        <v>1267385.37</v>
      </c>
      <c r="H27" s="188"/>
      <c r="I27" s="187">
        <f>IF((G22+G23+G24+G25+G26-I22-I23-I24-I25-I26)&lt;0,-(G22+G23+G24+G25+G26-I22-I23-I24-I25-I26),0)</f>
        <v>0</v>
      </c>
      <c r="J27" s="11"/>
      <c r="K27" s="186"/>
      <c r="L27" s="187">
        <f>IF((L22+L23+L24+L25+L26-N22-N23-N24-N25-N26)&gt;0,(L22+L23+L24+L25+L26-N22-N23-N24-N25-N26),0)</f>
        <v>0</v>
      </c>
      <c r="M27" s="188"/>
      <c r="N27" s="187">
        <f>IF((L22+L23+L24+L25+L26-N22-N23-N24-N25-N26)&lt;0,-(L22+L23+L24+L25+L26-N22-N23-N24-N25-N26),0)</f>
        <v>1267385.37</v>
      </c>
    </row>
    <row r="28" spans="1:14" ht="10.5" customHeight="1">
      <c r="A28" s="154"/>
      <c r="B28" s="12"/>
      <c r="C28" s="154"/>
      <c r="D28" s="12"/>
      <c r="E28" s="11"/>
      <c r="F28" s="154"/>
      <c r="G28" s="12"/>
      <c r="H28" s="154"/>
      <c r="I28" s="12"/>
      <c r="J28" s="11"/>
      <c r="K28" s="154"/>
      <c r="L28" s="12"/>
      <c r="M28" s="154"/>
      <c r="N28" s="12"/>
    </row>
    <row r="29" spans="1:14" s="13" customFormat="1" ht="10.5" customHeight="1">
      <c r="A29" s="443" t="s">
        <v>10</v>
      </c>
      <c r="B29" s="443"/>
      <c r="C29" s="443"/>
      <c r="D29" s="443"/>
      <c r="E29" s="156"/>
      <c r="F29" s="443" t="s">
        <v>144</v>
      </c>
      <c r="G29" s="443"/>
      <c r="H29" s="443"/>
      <c r="I29" s="443"/>
      <c r="J29" s="156"/>
      <c r="K29" s="443" t="s">
        <v>30</v>
      </c>
      <c r="L29" s="443"/>
      <c r="M29" s="443"/>
      <c r="N29" s="443"/>
    </row>
    <row r="30" spans="1:14" ht="10.5" customHeight="1">
      <c r="A30" s="152" t="s">
        <v>34</v>
      </c>
      <c r="B30" s="10" t="s">
        <v>35</v>
      </c>
      <c r="C30" s="152" t="s">
        <v>34</v>
      </c>
      <c r="D30" s="10" t="s">
        <v>35</v>
      </c>
      <c r="E30" s="11"/>
      <c r="F30" s="152" t="s">
        <v>34</v>
      </c>
      <c r="G30" s="10" t="s">
        <v>35</v>
      </c>
      <c r="H30" s="152" t="s">
        <v>34</v>
      </c>
      <c r="I30" s="10" t="s">
        <v>35</v>
      </c>
      <c r="J30" s="11"/>
      <c r="K30" s="152" t="s">
        <v>34</v>
      </c>
      <c r="L30" s="10" t="s">
        <v>35</v>
      </c>
      <c r="M30" s="152" t="s">
        <v>34</v>
      </c>
      <c r="N30" s="10" t="s">
        <v>35</v>
      </c>
    </row>
    <row r="31" spans="1:14" ht="10.5" customHeight="1">
      <c r="A31" s="153"/>
      <c r="B31" s="4"/>
      <c r="C31" s="153" t="s">
        <v>36</v>
      </c>
      <c r="D31" s="4">
        <v>38000</v>
      </c>
      <c r="E31" s="11"/>
      <c r="F31" s="153" t="s">
        <v>36</v>
      </c>
      <c r="G31" s="4">
        <v>547.85</v>
      </c>
      <c r="H31" s="153"/>
      <c r="I31" s="4"/>
      <c r="J31" s="11"/>
      <c r="K31" s="153"/>
      <c r="L31" s="4"/>
      <c r="M31" s="153" t="s">
        <v>36</v>
      </c>
      <c r="N31" s="4">
        <v>20350</v>
      </c>
    </row>
    <row r="32" spans="1:14" ht="10.5" customHeight="1">
      <c r="A32" s="153">
        <v>1</v>
      </c>
      <c r="B32" s="4">
        <v>38000</v>
      </c>
      <c r="C32" s="153"/>
      <c r="D32" s="4"/>
      <c r="E32" s="11"/>
      <c r="F32" s="153"/>
      <c r="G32" s="4"/>
      <c r="H32" s="153">
        <v>1</v>
      </c>
      <c r="I32" s="4">
        <v>547.85</v>
      </c>
      <c r="J32" s="11"/>
      <c r="K32" s="153"/>
      <c r="L32" s="4"/>
      <c r="M32" s="153">
        <v>4</v>
      </c>
      <c r="N32" s="4">
        <v>10175</v>
      </c>
    </row>
    <row r="33" spans="1:14" ht="10.5" customHeight="1">
      <c r="A33" s="153"/>
      <c r="B33" s="4"/>
      <c r="C33" s="153">
        <v>4</v>
      </c>
      <c r="D33" s="4">
        <v>8000</v>
      </c>
      <c r="E33" s="11"/>
      <c r="F33" s="189" t="s">
        <v>174</v>
      </c>
      <c r="G33" s="5">
        <v>115.34000000000015</v>
      </c>
      <c r="H33" s="189"/>
      <c r="I33" s="5"/>
      <c r="J33" s="11"/>
      <c r="K33" s="153"/>
      <c r="L33" s="4"/>
      <c r="M33" s="153"/>
      <c r="N33" s="4"/>
    </row>
    <row r="34" spans="1:14" ht="10.5" customHeight="1">
      <c r="A34" s="153"/>
      <c r="B34" s="4"/>
      <c r="C34" s="153"/>
      <c r="D34" s="4"/>
      <c r="E34" s="11"/>
      <c r="F34" s="153"/>
      <c r="G34" s="4"/>
      <c r="H34" s="153"/>
      <c r="I34" s="4"/>
      <c r="J34" s="11"/>
      <c r="K34" s="153"/>
      <c r="L34" s="4"/>
      <c r="M34" s="153"/>
      <c r="N34" s="4"/>
    </row>
    <row r="35" spans="1:14" ht="10.5" customHeight="1">
      <c r="A35" s="153"/>
      <c r="B35" s="4"/>
      <c r="C35" s="153"/>
      <c r="D35" s="4"/>
      <c r="E35" s="11"/>
      <c r="F35" s="153"/>
      <c r="G35" s="4"/>
      <c r="H35" s="153"/>
      <c r="I35" s="4"/>
      <c r="J35" s="11"/>
      <c r="K35" s="153"/>
      <c r="L35" s="4"/>
      <c r="M35" s="153"/>
      <c r="N35" s="4"/>
    </row>
    <row r="36" spans="1:14" ht="10.5" customHeight="1">
      <c r="A36" s="186"/>
      <c r="B36" s="187">
        <f>IF((B31+B32+B33+B34+B35-D31-D32-D33-D34-D35)&gt;0,(B31+B32+B33+B34+B35-D31-D32-D33-D34-D35),0)</f>
        <v>0</v>
      </c>
      <c r="C36" s="188"/>
      <c r="D36" s="187">
        <f>IF((B31+B32+B33+B34+B35-D31-D32-D33-D34-D35)&lt;0,-(B31+B32+B33+B34+B35-D31-D32-D33-D34-D35),0)</f>
        <v>8000</v>
      </c>
      <c r="E36" s="11"/>
      <c r="F36" s="186"/>
      <c r="G36" s="187">
        <f>IF((G31+G32+G33+G34+G35-I31-I32-I33-I34-I35)&gt;0,(G31+G32+G33+G34+G35-I31-I32-I33-I34-I35),0)</f>
        <v>115.34000000000015</v>
      </c>
      <c r="H36" s="188"/>
      <c r="I36" s="187">
        <f>IF((G31+G32+G33+G34+G35-I31-I32-I33-I34-I35)&lt;0,-(G31+G32+G33+G34+G35-I31-I32-I33-I34-I35),0)</f>
        <v>0</v>
      </c>
      <c r="J36" s="11"/>
      <c r="K36" s="186"/>
      <c r="L36" s="187">
        <f>IF((L31+L32+L33+L34+L35-N31-N32-N33-N34-N35)&gt;0,(L31+L32+L33+L34+L35-N31-N32-N33-N34-N35),0)</f>
        <v>0</v>
      </c>
      <c r="M36" s="188"/>
      <c r="N36" s="187">
        <f>IF((L31+L32+L33+L34+L35-N31-N32-N33-N34-N35)&lt;0,-(L31+L32+L33+L34+L35-N31-N32-N33-N34-N35),0)</f>
        <v>30525</v>
      </c>
    </row>
    <row r="37" spans="1:14" ht="10.5" customHeight="1">
      <c r="A37" s="154"/>
      <c r="B37" s="12"/>
      <c r="C37" s="154"/>
      <c r="D37" s="12"/>
      <c r="E37" s="11"/>
      <c r="F37" s="154"/>
      <c r="G37" s="12"/>
      <c r="H37" s="154"/>
      <c r="I37" s="12"/>
      <c r="J37" s="11"/>
      <c r="K37" s="154"/>
      <c r="L37" s="12"/>
      <c r="M37" s="154"/>
      <c r="N37" s="12"/>
    </row>
    <row r="38" spans="1:14" s="13" customFormat="1" ht="10.5" customHeight="1">
      <c r="A38" s="443" t="s">
        <v>11</v>
      </c>
      <c r="B38" s="443"/>
      <c r="C38" s="443"/>
      <c r="D38" s="443"/>
      <c r="E38" s="156"/>
      <c r="F38" s="443" t="s">
        <v>12</v>
      </c>
      <c r="G38" s="443"/>
      <c r="H38" s="443"/>
      <c r="I38" s="443"/>
      <c r="J38" s="156"/>
      <c r="K38" s="443" t="s">
        <v>22</v>
      </c>
      <c r="L38" s="443"/>
      <c r="M38" s="443"/>
      <c r="N38" s="443"/>
    </row>
    <row r="39" spans="1:14" ht="10.5" customHeight="1">
      <c r="A39" s="152" t="s">
        <v>34</v>
      </c>
      <c r="B39" s="10" t="s">
        <v>35</v>
      </c>
      <c r="C39" s="152" t="s">
        <v>34</v>
      </c>
      <c r="D39" s="10" t="s">
        <v>35</v>
      </c>
      <c r="E39" s="11"/>
      <c r="F39" s="152" t="s">
        <v>34</v>
      </c>
      <c r="G39" s="10" t="s">
        <v>35</v>
      </c>
      <c r="H39" s="152" t="s">
        <v>34</v>
      </c>
      <c r="I39" s="10" t="s">
        <v>35</v>
      </c>
      <c r="J39" s="11"/>
      <c r="K39" s="152" t="s">
        <v>34</v>
      </c>
      <c r="L39" s="10" t="s">
        <v>35</v>
      </c>
      <c r="M39" s="152" t="s">
        <v>34</v>
      </c>
      <c r="N39" s="10" t="s">
        <v>35</v>
      </c>
    </row>
    <row r="40" spans="1:14" ht="10.5" customHeight="1">
      <c r="A40" s="153"/>
      <c r="B40" s="4"/>
      <c r="C40" s="153" t="s">
        <v>36</v>
      </c>
      <c r="D40" s="179">
        <v>5000</v>
      </c>
      <c r="E40" s="11"/>
      <c r="F40" s="153"/>
      <c r="G40" s="4"/>
      <c r="H40" s="153" t="s">
        <v>36</v>
      </c>
      <c r="I40" s="179">
        <v>1476.5</v>
      </c>
      <c r="J40" s="11"/>
      <c r="K40" s="153"/>
      <c r="L40" s="4"/>
      <c r="M40" s="153" t="s">
        <v>36</v>
      </c>
      <c r="N40" s="4">
        <v>0</v>
      </c>
    </row>
    <row r="41" spans="1:14" ht="10.5" customHeight="1">
      <c r="A41" s="153"/>
      <c r="B41" s="4"/>
      <c r="C41" s="153"/>
      <c r="D41" s="4"/>
      <c r="E41" s="11"/>
      <c r="F41" s="153"/>
      <c r="G41" s="4"/>
      <c r="H41" s="189" t="s">
        <v>174</v>
      </c>
      <c r="I41" s="5">
        <v>794.8000000000002</v>
      </c>
      <c r="J41" s="11"/>
      <c r="K41" s="445" t="s">
        <v>146</v>
      </c>
      <c r="L41" s="447">
        <v>0</v>
      </c>
      <c r="M41" s="189"/>
      <c r="N41" s="5"/>
    </row>
    <row r="42" spans="1:14" ht="10.5" customHeight="1">
      <c r="A42" s="153"/>
      <c r="B42" s="4"/>
      <c r="C42" s="153"/>
      <c r="D42" s="4"/>
      <c r="E42" s="11"/>
      <c r="F42" s="153"/>
      <c r="G42" s="4"/>
      <c r="H42" s="153"/>
      <c r="I42" s="4"/>
      <c r="J42" s="11"/>
      <c r="K42" s="446"/>
      <c r="L42" s="448"/>
      <c r="M42" s="153"/>
      <c r="N42" s="4"/>
    </row>
    <row r="43" spans="1:14" ht="10.5" customHeight="1">
      <c r="A43" s="153"/>
      <c r="B43" s="4"/>
      <c r="C43" s="153"/>
      <c r="D43" s="4"/>
      <c r="E43" s="11"/>
      <c r="F43" s="153"/>
      <c r="G43" s="4"/>
      <c r="H43" s="153"/>
      <c r="I43" s="4"/>
      <c r="J43" s="11"/>
      <c r="K43" s="153"/>
      <c r="L43" s="4"/>
      <c r="M43" s="153"/>
      <c r="N43" s="4"/>
    </row>
    <row r="44" spans="1:14" ht="10.5" customHeight="1">
      <c r="A44" s="153"/>
      <c r="B44" s="4"/>
      <c r="C44" s="153"/>
      <c r="D44" s="4"/>
      <c r="E44" s="11"/>
      <c r="F44" s="153"/>
      <c r="G44" s="4"/>
      <c r="H44" s="153"/>
      <c r="I44" s="4"/>
      <c r="J44" s="11"/>
      <c r="K44" s="153"/>
      <c r="L44" s="4"/>
      <c r="M44" s="153"/>
      <c r="N44" s="4"/>
    </row>
    <row r="45" spans="1:14" ht="10.5" customHeight="1">
      <c r="A45" s="186"/>
      <c r="B45" s="187">
        <f>IF((B40+B41+B42+B43+B44-D40-D41-D42-D43-D44)&gt;0,(B40+B41+B42+B43+B44-D40-D41-D42-D43-D44),0)</f>
        <v>0</v>
      </c>
      <c r="C45" s="188"/>
      <c r="D45" s="187">
        <f>IF((B40+B41+B42+B43+B44-D40-D41-D42-D43-D44)&lt;0,-(B40+B41+B42+B43+B44-D40-D41-D42-D43-D44),0)</f>
        <v>5000</v>
      </c>
      <c r="E45" s="11"/>
      <c r="F45" s="186"/>
      <c r="G45" s="187">
        <f>IF((G40+G41+G42+G43+G44-I40-I41-I42-I43-I44)&gt;0,(G40+G41+G42+G43+G44-I40-I41-I42-I43-I44),0)</f>
        <v>0</v>
      </c>
      <c r="H45" s="188"/>
      <c r="I45" s="187">
        <f>IF((G40+G41+G42+G43+G44-I40-I41-I42-I43-I44)&lt;0,-(G40+G41+G42+G43+G44-I40-I41-I42-I43-I44),0)</f>
        <v>2271.3</v>
      </c>
      <c r="J45" s="11"/>
      <c r="K45" s="186"/>
      <c r="L45" s="187">
        <f>IF((L40+L41+L42+L43+L44-N40-N41-N42-N43-N44)&gt;0,(L40+L41+L42+L43+L44-N40-N41-N42-N43-N44),0)</f>
        <v>0</v>
      </c>
      <c r="M45" s="188"/>
      <c r="N45" s="187">
        <f>IF((L40+L41+L42+L43+L44-N40-N41-N42-N43-N44)&lt;0,-(L40+L41+L42+L43+L44-N40-N41-N42-N43-N44),0)</f>
        <v>0</v>
      </c>
    </row>
    <row r="46" spans="1:14" ht="10.5" customHeight="1">
      <c r="A46" s="154"/>
      <c r="B46" s="12"/>
      <c r="C46" s="154"/>
      <c r="D46" s="12"/>
      <c r="E46" s="11"/>
      <c r="F46" s="154"/>
      <c r="G46" s="12"/>
      <c r="H46" s="154"/>
      <c r="I46" s="12"/>
      <c r="J46" s="11"/>
      <c r="K46" s="154"/>
      <c r="L46" s="12"/>
      <c r="M46" s="154"/>
      <c r="N46" s="12"/>
    </row>
    <row r="47" spans="1:14" s="13" customFormat="1" ht="10.5" customHeight="1">
      <c r="A47" s="452" t="s">
        <v>13</v>
      </c>
      <c r="B47" s="452"/>
      <c r="C47" s="452"/>
      <c r="D47" s="452"/>
      <c r="E47" s="156"/>
      <c r="F47" s="444" t="s">
        <v>145</v>
      </c>
      <c r="G47" s="444"/>
      <c r="H47" s="444"/>
      <c r="I47" s="444"/>
      <c r="J47" s="156"/>
      <c r="K47" s="443"/>
      <c r="L47" s="443"/>
      <c r="M47" s="443"/>
      <c r="N47" s="443"/>
    </row>
    <row r="48" spans="1:14" ht="10.5" customHeight="1">
      <c r="A48" s="152" t="s">
        <v>34</v>
      </c>
      <c r="B48" s="10" t="s">
        <v>35</v>
      </c>
      <c r="C48" s="152" t="s">
        <v>34</v>
      </c>
      <c r="D48" s="10" t="s">
        <v>35</v>
      </c>
      <c r="E48" s="11"/>
      <c r="F48" s="152" t="s">
        <v>34</v>
      </c>
      <c r="G48" s="10" t="s">
        <v>35</v>
      </c>
      <c r="H48" s="152" t="s">
        <v>34</v>
      </c>
      <c r="I48" s="10" t="s">
        <v>35</v>
      </c>
      <c r="J48" s="11"/>
      <c r="K48" s="152" t="s">
        <v>34</v>
      </c>
      <c r="L48" s="10" t="s">
        <v>35</v>
      </c>
      <c r="M48" s="152" t="s">
        <v>34</v>
      </c>
      <c r="N48" s="10" t="s">
        <v>35</v>
      </c>
    </row>
    <row r="49" spans="1:14" ht="10.5" customHeight="1">
      <c r="A49" s="153"/>
      <c r="B49" s="4"/>
      <c r="C49" s="153" t="s">
        <v>36</v>
      </c>
      <c r="D49" s="326">
        <v>414384.38</v>
      </c>
      <c r="E49" s="11"/>
      <c r="F49" s="153"/>
      <c r="G49" s="4"/>
      <c r="H49" s="445" t="s">
        <v>36</v>
      </c>
      <c r="I49" s="447">
        <v>18968.05</v>
      </c>
      <c r="J49" s="11"/>
      <c r="K49" s="153"/>
      <c r="L49" s="4"/>
      <c r="M49" s="153"/>
      <c r="N49" s="4"/>
    </row>
    <row r="50" spans="1:14" ht="10.5" customHeight="1">
      <c r="A50" s="153">
        <v>4</v>
      </c>
      <c r="B50" s="4">
        <v>10175</v>
      </c>
      <c r="C50" s="153"/>
      <c r="D50" s="4"/>
      <c r="E50" s="11"/>
      <c r="F50" s="153"/>
      <c r="G50" s="4"/>
      <c r="H50" s="446"/>
      <c r="I50" s="448"/>
      <c r="J50" s="11"/>
      <c r="K50" s="153"/>
      <c r="L50" s="4"/>
      <c r="M50" s="153"/>
      <c r="N50" s="4"/>
    </row>
    <row r="51" spans="3:14" ht="10.5" customHeight="1">
      <c r="C51" s="445"/>
      <c r="D51" s="453"/>
      <c r="E51" s="11"/>
      <c r="F51" s="153"/>
      <c r="G51" s="4"/>
      <c r="H51" s="189" t="s">
        <v>174</v>
      </c>
      <c r="I51" s="5">
        <v>12902.000000000004</v>
      </c>
      <c r="J51" s="11"/>
      <c r="K51" s="153"/>
      <c r="L51" s="4"/>
      <c r="M51" s="153"/>
      <c r="N51" s="4"/>
    </row>
    <row r="52" spans="3:14" ht="10.5" customHeight="1">
      <c r="C52" s="446"/>
      <c r="D52" s="454"/>
      <c r="E52" s="11"/>
      <c r="F52" s="153"/>
      <c r="G52" s="4"/>
      <c r="H52" s="153"/>
      <c r="I52" s="4"/>
      <c r="J52" s="11"/>
      <c r="K52" s="153"/>
      <c r="L52" s="4"/>
      <c r="M52" s="153"/>
      <c r="N52" s="4"/>
    </row>
    <row r="53" spans="1:14" ht="10.5" customHeight="1">
      <c r="A53" s="176"/>
      <c r="B53" s="177"/>
      <c r="C53" s="189" t="s">
        <v>174</v>
      </c>
      <c r="D53" s="5">
        <v>219701.29000000004</v>
      </c>
      <c r="E53" s="11"/>
      <c r="F53" s="153"/>
      <c r="G53" s="4"/>
      <c r="H53" s="153"/>
      <c r="I53" s="4"/>
      <c r="J53" s="11"/>
      <c r="K53" s="153"/>
      <c r="L53" s="4"/>
      <c r="M53" s="153"/>
      <c r="N53" s="4"/>
    </row>
    <row r="54" spans="1:14" ht="10.5" customHeight="1">
      <c r="A54" s="186"/>
      <c r="B54" s="187">
        <f>IF((B49+B50+B51+B52+B53-D49-D50-D51-D52-D53)&gt;0,(B49+B50+B51+B52+B53-D49-D50-D51-D52-D53),0)</f>
        <v>0</v>
      </c>
      <c r="C54" s="188"/>
      <c r="D54" s="187">
        <f>IF((B49+B50+B51+B52+B53-D49-D50-D51-D52-D53)&lt;0,-(B49+B50+B51+B52+B53-D49-D50-D51-D52-D53),0)</f>
        <v>623910.67</v>
      </c>
      <c r="E54" s="11"/>
      <c r="F54" s="186"/>
      <c r="G54" s="187">
        <f>IF((G49+G50+G51+G52+G53-I49-I50-I51-I52-I53)&gt;0,(G49+G50+G51+G52+G53-I49-I50-I51-I52-I53),0)</f>
        <v>0</v>
      </c>
      <c r="H54" s="188"/>
      <c r="I54" s="187">
        <f>IF((G49+G50+G51+G52+G53-I49-I50-I51-I52-I53)&lt;0,-(G49+G50+G51+G52+G53-I49-I50-I51-I52-I53),0)</f>
        <v>31870.050000000003</v>
      </c>
      <c r="J54" s="11"/>
      <c r="K54" s="186"/>
      <c r="L54" s="187">
        <f>IF((L49+L50+L51+L52+L53-N49-N50-N51-N52-N53)&gt;0,(L49+L50+L51+L52+L53-N49-N50-N51-N52-N53),0)</f>
        <v>0</v>
      </c>
      <c r="M54" s="188"/>
      <c r="N54" s="187">
        <f>IF((L49+L50+L51+L52+L53-N49-N50-N51-N52-N53)&lt;0,-(L49+L50+L51+L52+L53-N49-N50-N51-N52-N53),0)</f>
        <v>0</v>
      </c>
    </row>
    <row r="55" spans="1:14" ht="10.5" customHeight="1">
      <c r="A55" s="154"/>
      <c r="B55" s="12"/>
      <c r="C55" s="154"/>
      <c r="D55" s="12"/>
      <c r="E55" s="11"/>
      <c r="F55" s="154"/>
      <c r="G55" s="12"/>
      <c r="H55" s="154"/>
      <c r="I55" s="12"/>
      <c r="J55" s="11"/>
      <c r="K55" s="154"/>
      <c r="L55" s="12"/>
      <c r="M55" s="154"/>
      <c r="N55" s="12"/>
    </row>
    <row r="56" spans="1:14" s="13" customFormat="1" ht="10.5" customHeight="1">
      <c r="A56" s="443" t="s">
        <v>14</v>
      </c>
      <c r="B56" s="443"/>
      <c r="C56" s="443"/>
      <c r="D56" s="443"/>
      <c r="E56" s="156"/>
      <c r="F56" s="443" t="s">
        <v>15</v>
      </c>
      <c r="G56" s="443"/>
      <c r="H56" s="443"/>
      <c r="I56" s="443"/>
      <c r="J56" s="156"/>
      <c r="K56" s="443" t="s">
        <v>17</v>
      </c>
      <c r="L56" s="443"/>
      <c r="M56" s="443"/>
      <c r="N56" s="443"/>
    </row>
    <row r="57" spans="1:14" ht="10.5" customHeight="1">
      <c r="A57" s="152" t="s">
        <v>34</v>
      </c>
      <c r="B57" s="10" t="s">
        <v>35</v>
      </c>
      <c r="C57" s="152" t="s">
        <v>34</v>
      </c>
      <c r="D57" s="10" t="s">
        <v>35</v>
      </c>
      <c r="E57" s="11"/>
      <c r="F57" s="152" t="s">
        <v>34</v>
      </c>
      <c r="G57" s="10" t="s">
        <v>35</v>
      </c>
      <c r="H57" s="152" t="s">
        <v>34</v>
      </c>
      <c r="I57" s="10" t="s">
        <v>35</v>
      </c>
      <c r="J57" s="11"/>
      <c r="K57" s="152" t="s">
        <v>34</v>
      </c>
      <c r="L57" s="10" t="s">
        <v>35</v>
      </c>
      <c r="M57" s="152" t="s">
        <v>34</v>
      </c>
      <c r="N57" s="10" t="s">
        <v>35</v>
      </c>
    </row>
    <row r="58" spans="1:14" ht="10.5" customHeight="1">
      <c r="A58" s="153"/>
      <c r="B58" s="4"/>
      <c r="C58" s="153">
        <v>1</v>
      </c>
      <c r="D58" s="4">
        <v>21600</v>
      </c>
      <c r="E58" s="11"/>
      <c r="F58" s="153">
        <v>1</v>
      </c>
      <c r="G58" s="4">
        <v>14000</v>
      </c>
      <c r="H58" s="153"/>
      <c r="I58" s="4"/>
      <c r="J58" s="11"/>
      <c r="K58" s="189" t="s">
        <v>174</v>
      </c>
      <c r="L58" s="5">
        <v>95962.42</v>
      </c>
      <c r="M58" s="153"/>
      <c r="N58" s="4"/>
    </row>
    <row r="59" spans="1:14" ht="10.5" customHeight="1">
      <c r="A59" s="153"/>
      <c r="B59" s="4"/>
      <c r="C59" s="189" t="s">
        <v>174</v>
      </c>
      <c r="D59" s="5">
        <v>10689.39</v>
      </c>
      <c r="E59" s="11"/>
      <c r="F59" s="189" t="s">
        <v>174</v>
      </c>
      <c r="G59" s="5">
        <v>6928.310000000001</v>
      </c>
      <c r="H59" s="153"/>
      <c r="I59" s="4"/>
      <c r="J59" s="11"/>
      <c r="K59" s="153"/>
      <c r="L59" s="4"/>
      <c r="M59" s="153"/>
      <c r="N59" s="4"/>
    </row>
    <row r="60" spans="1:14" ht="10.5" customHeight="1">
      <c r="A60" s="153"/>
      <c r="B60" s="4"/>
      <c r="C60" s="153"/>
      <c r="D60" s="4"/>
      <c r="E60" s="11"/>
      <c r="F60" s="153"/>
      <c r="G60" s="4"/>
      <c r="H60" s="153"/>
      <c r="I60" s="4"/>
      <c r="J60" s="11"/>
      <c r="K60" s="153"/>
      <c r="L60" s="4"/>
      <c r="M60" s="153"/>
      <c r="N60" s="4"/>
    </row>
    <row r="61" spans="1:14" ht="10.5" customHeight="1">
      <c r="A61" s="153"/>
      <c r="B61" s="4"/>
      <c r="C61" s="153"/>
      <c r="D61" s="4"/>
      <c r="E61" s="11"/>
      <c r="F61" s="153"/>
      <c r="G61" s="4"/>
      <c r="H61" s="153"/>
      <c r="I61" s="4"/>
      <c r="J61" s="11"/>
      <c r="K61" s="153"/>
      <c r="L61" s="4"/>
      <c r="M61" s="153"/>
      <c r="N61" s="4"/>
    </row>
    <row r="62" spans="1:14" ht="10.5" customHeight="1">
      <c r="A62" s="153"/>
      <c r="B62" s="4"/>
      <c r="C62" s="153"/>
      <c r="D62" s="4"/>
      <c r="E62" s="11"/>
      <c r="F62" s="153"/>
      <c r="G62" s="4"/>
      <c r="H62" s="153"/>
      <c r="I62" s="4"/>
      <c r="J62" s="11"/>
      <c r="K62" s="153"/>
      <c r="L62" s="4"/>
      <c r="M62" s="153"/>
      <c r="N62" s="4"/>
    </row>
    <row r="63" spans="1:14" ht="10.5" customHeight="1">
      <c r="A63" s="186"/>
      <c r="B63" s="187">
        <f>IF((B58+B59+B60+B61+B62-D58-D59-D60-D61-D62)&gt;0,(B58+B59+B60+B61+B62-D58-D59-D60-D61-D62),0)</f>
        <v>0</v>
      </c>
      <c r="C63" s="188"/>
      <c r="D63" s="187">
        <f>IF((B58+B59+B60+B61+B62-D58-D59-D60-D61-D62)&lt;0,-(B58+B59+B60+B61+B62-D58-D59-D60-D61-D62),0)</f>
        <v>32289.39</v>
      </c>
      <c r="E63" s="11"/>
      <c r="F63" s="186"/>
      <c r="G63" s="187">
        <f>IF((G58+G59+G60+G61+G62-I58-I59-I60-I61-I62)&gt;0,(G58+G59+G60+G61+G62-I58-I59-I60-I61-I62),0)</f>
        <v>20928.31</v>
      </c>
      <c r="H63" s="188"/>
      <c r="I63" s="187">
        <f>IF((G58+G59+G60+G61+G62-I58-I59-I60-I61-I62)&lt;0,-(G58+G59+G60+G61+G62-I58-I59-I60-I61-I62),0)</f>
        <v>0</v>
      </c>
      <c r="J63" s="11"/>
      <c r="K63" s="186"/>
      <c r="L63" s="187">
        <f>IF((L58+L59+L60+L61+L62-N58-N59-N60-N61-N62)&gt;0,(L58+L59+L60+L61+L62-N58-N59-N60-N61-N62),0)</f>
        <v>95962.42</v>
      </c>
      <c r="M63" s="188"/>
      <c r="N63" s="187">
        <f>IF((L58+L59+L60+L61+L62-N58-N59-N60-N61-N62)&lt;0,-(L58+L59+L60+L61+L62-N58-N59-N60-N61-N62),0)</f>
        <v>0</v>
      </c>
    </row>
    <row r="64" spans="1:14" ht="10.5" customHeight="1">
      <c r="A64" s="154"/>
      <c r="B64" s="12"/>
      <c r="C64" s="154"/>
      <c r="D64" s="12"/>
      <c r="E64" s="11"/>
      <c r="F64" s="154"/>
      <c r="G64" s="12"/>
      <c r="H64" s="154"/>
      <c r="I64" s="12"/>
      <c r="J64" s="11"/>
      <c r="K64" s="154"/>
      <c r="L64" s="12"/>
      <c r="M64" s="154"/>
      <c r="N64" s="12"/>
    </row>
    <row r="65" spans="1:14" s="13" customFormat="1" ht="10.5" customHeight="1">
      <c r="A65" s="443" t="s">
        <v>16</v>
      </c>
      <c r="B65" s="443"/>
      <c r="C65" s="443"/>
      <c r="D65" s="443"/>
      <c r="E65" s="156"/>
      <c r="F65" s="443" t="s">
        <v>18</v>
      </c>
      <c r="G65" s="443"/>
      <c r="H65" s="443"/>
      <c r="I65" s="443"/>
      <c r="J65" s="156"/>
      <c r="K65" s="443" t="s">
        <v>19</v>
      </c>
      <c r="L65" s="443"/>
      <c r="M65" s="443"/>
      <c r="N65" s="443"/>
    </row>
    <row r="66" spans="1:14" ht="10.5" customHeight="1">
      <c r="A66" s="152" t="s">
        <v>34</v>
      </c>
      <c r="B66" s="10" t="s">
        <v>35</v>
      </c>
      <c r="C66" s="152" t="s">
        <v>34</v>
      </c>
      <c r="D66" s="10" t="s">
        <v>35</v>
      </c>
      <c r="E66" s="11"/>
      <c r="F66" s="152" t="s">
        <v>34</v>
      </c>
      <c r="G66" s="10" t="s">
        <v>35</v>
      </c>
      <c r="H66" s="152" t="s">
        <v>34</v>
      </c>
      <c r="I66" s="10" t="s">
        <v>35</v>
      </c>
      <c r="J66" s="11"/>
      <c r="K66" s="152" t="s">
        <v>34</v>
      </c>
      <c r="L66" s="10" t="s">
        <v>35</v>
      </c>
      <c r="M66" s="152" t="s">
        <v>34</v>
      </c>
      <c r="N66" s="10" t="s">
        <v>35</v>
      </c>
    </row>
    <row r="67" spans="1:14" ht="10.5" customHeight="1">
      <c r="A67" s="153"/>
      <c r="B67" s="4"/>
      <c r="C67" s="153"/>
      <c r="D67" s="4"/>
      <c r="E67" s="11"/>
      <c r="F67" s="153">
        <v>3</v>
      </c>
      <c r="G67" s="4">
        <v>5000</v>
      </c>
      <c r="H67" s="153"/>
      <c r="I67" s="4"/>
      <c r="J67" s="11"/>
      <c r="K67" s="153"/>
      <c r="L67" s="4"/>
      <c r="M67" s="153"/>
      <c r="N67" s="4"/>
    </row>
    <row r="68" spans="1:14" ht="10.5" customHeight="1">
      <c r="A68" s="153"/>
      <c r="B68" s="4"/>
      <c r="C68" s="153"/>
      <c r="D68" s="4"/>
      <c r="E68" s="11"/>
      <c r="F68" s="189" t="s">
        <v>174</v>
      </c>
      <c r="G68" s="5">
        <v>1881.1499999999996</v>
      </c>
      <c r="H68" s="153"/>
      <c r="I68" s="4"/>
      <c r="J68" s="11"/>
      <c r="K68" s="153"/>
      <c r="L68" s="4"/>
      <c r="M68" s="153"/>
      <c r="N68" s="4"/>
    </row>
    <row r="69" spans="1:14" ht="10.5" customHeight="1">
      <c r="A69" s="153"/>
      <c r="B69" s="4"/>
      <c r="C69" s="153"/>
      <c r="D69" s="4"/>
      <c r="E69" s="11"/>
      <c r="F69" s="153"/>
      <c r="G69" s="4"/>
      <c r="H69" s="153"/>
      <c r="I69" s="4"/>
      <c r="J69" s="11"/>
      <c r="K69" s="153"/>
      <c r="L69" s="4"/>
      <c r="M69" s="153"/>
      <c r="N69" s="4"/>
    </row>
    <row r="70" spans="1:14" ht="10.5" customHeight="1">
      <c r="A70" s="153"/>
      <c r="B70" s="4"/>
      <c r="C70" s="153"/>
      <c r="D70" s="4"/>
      <c r="E70" s="11"/>
      <c r="F70" s="153"/>
      <c r="G70" s="4"/>
      <c r="H70" s="153"/>
      <c r="I70" s="4"/>
      <c r="J70" s="11"/>
      <c r="K70" s="153"/>
      <c r="L70" s="4"/>
      <c r="M70" s="153"/>
      <c r="N70" s="4"/>
    </row>
    <row r="71" spans="1:14" ht="10.5" customHeight="1">
      <c r="A71" s="153"/>
      <c r="B71" s="4"/>
      <c r="C71" s="153"/>
      <c r="D71" s="4"/>
      <c r="E71" s="11"/>
      <c r="F71" s="153"/>
      <c r="G71" s="4"/>
      <c r="H71" s="153"/>
      <c r="I71" s="4"/>
      <c r="J71" s="11"/>
      <c r="K71" s="153"/>
      <c r="L71" s="4"/>
      <c r="M71" s="153"/>
      <c r="N71" s="4"/>
    </row>
    <row r="72" spans="1:14" ht="10.5" customHeight="1">
      <c r="A72" s="186"/>
      <c r="B72" s="187">
        <f>IF((B67+B68+B69+B70+B71-D67-D68-D69-D70-D71)&gt;0,(B67+B68+B69+B70+B71-D67-D68-D69-D70-D71),0)</f>
        <v>0</v>
      </c>
      <c r="C72" s="188"/>
      <c r="D72" s="187">
        <f>IF((B67+B68+B69+B70+B71-D67-D68-D69-D70-D71)&lt;0,-(B67+B68+B69+B70+B71-D67-D68-D69-D70-D71),0)</f>
        <v>0</v>
      </c>
      <c r="E72" s="11"/>
      <c r="F72" s="186"/>
      <c r="G72" s="187">
        <f>IF((G67+G68+G69+G70+G71-I67-I68-I69-I70-I71)&gt;0,(G67+G68+G69+G70+G71-I67-I68-I69-I70-I71),0)</f>
        <v>6881.15</v>
      </c>
      <c r="H72" s="188"/>
      <c r="I72" s="187">
        <f>IF((G67+G68+G69+G70+G71-I67-I68-I69-I70-I71)&lt;0,-(G67+G68+G69+G70+G71-I67-I68-I69-I70-I71),0)</f>
        <v>0</v>
      </c>
      <c r="J72" s="11"/>
      <c r="K72" s="186"/>
      <c r="L72" s="187">
        <f>IF((L67+L68+L69+L70+L71-N67-N68-N69-N70-N71)&gt;0,(L67+L68+L69+L70+L71-N67-N68-N69-N70-N71),0)</f>
        <v>0</v>
      </c>
      <c r="M72" s="188"/>
      <c r="N72" s="187">
        <f>IF((L67+L68+L69+L70+L71-N67-N68-N69-N70-N71)&lt;0,-(L67+L68+L69+L70+L71-N67-N68-N69-N70-N71),0)</f>
        <v>0</v>
      </c>
    </row>
    <row r="73" spans="1:14" ht="10.5" customHeight="1">
      <c r="A73" s="154"/>
      <c r="B73" s="12"/>
      <c r="C73" s="154"/>
      <c r="D73" s="12"/>
      <c r="E73" s="11"/>
      <c r="F73" s="154"/>
      <c r="G73" s="12"/>
      <c r="H73" s="154"/>
      <c r="I73" s="12"/>
      <c r="J73" s="11"/>
      <c r="K73" s="154"/>
      <c r="L73" s="12"/>
      <c r="M73" s="154"/>
      <c r="N73" s="12"/>
    </row>
    <row r="74" spans="1:14" s="13" customFormat="1" ht="12.75">
      <c r="A74" s="443" t="s">
        <v>147</v>
      </c>
      <c r="B74" s="443"/>
      <c r="C74" s="443"/>
      <c r="D74" s="443"/>
      <c r="E74" s="156"/>
      <c r="F74" s="444" t="s">
        <v>143</v>
      </c>
      <c r="G74" s="444"/>
      <c r="H74" s="444"/>
      <c r="I74" s="444"/>
      <c r="J74" s="156"/>
      <c r="K74" s="443"/>
      <c r="L74" s="443"/>
      <c r="M74" s="443"/>
      <c r="N74" s="443"/>
    </row>
    <row r="75" spans="1:14" ht="12.75">
      <c r="A75" s="152" t="s">
        <v>34</v>
      </c>
      <c r="B75" s="10" t="s">
        <v>35</v>
      </c>
      <c r="C75" s="152" t="s">
        <v>34</v>
      </c>
      <c r="D75" s="10" t="s">
        <v>35</v>
      </c>
      <c r="E75" s="11"/>
      <c r="F75" s="152" t="s">
        <v>34</v>
      </c>
      <c r="G75" s="10" t="s">
        <v>35</v>
      </c>
      <c r="H75" s="152" t="s">
        <v>34</v>
      </c>
      <c r="I75" s="10" t="s">
        <v>35</v>
      </c>
      <c r="J75" s="11"/>
      <c r="K75" s="152" t="s">
        <v>34</v>
      </c>
      <c r="L75" s="10" t="s">
        <v>35</v>
      </c>
      <c r="M75" s="152" t="s">
        <v>34</v>
      </c>
      <c r="N75" s="10" t="s">
        <v>35</v>
      </c>
    </row>
    <row r="76" spans="1:14" ht="12.75">
      <c r="A76" s="153"/>
      <c r="B76" s="4"/>
      <c r="C76" s="153"/>
      <c r="D76" s="4"/>
      <c r="E76" s="11"/>
      <c r="F76" s="153">
        <v>1</v>
      </c>
      <c r="G76" s="4">
        <v>547.8499999999999</v>
      </c>
      <c r="H76" s="153">
        <v>1</v>
      </c>
      <c r="I76" s="4">
        <v>161.67000000000007</v>
      </c>
      <c r="J76" s="11"/>
      <c r="K76" s="153"/>
      <c r="L76" s="4"/>
      <c r="M76" s="153"/>
      <c r="N76" s="4"/>
    </row>
    <row r="77" spans="1:14" ht="12.75">
      <c r="A77" s="153"/>
      <c r="B77" s="4"/>
      <c r="C77" s="153"/>
      <c r="D77" s="4"/>
      <c r="E77" s="11"/>
      <c r="F77" s="189"/>
      <c r="G77" s="5"/>
      <c r="H77" s="189" t="s">
        <v>174</v>
      </c>
      <c r="I77" s="5">
        <f>1335.11+115.34</f>
        <v>1450.4499999999998</v>
      </c>
      <c r="J77" s="11"/>
      <c r="K77" s="153"/>
      <c r="L77" s="4"/>
      <c r="M77" s="153"/>
      <c r="N77" s="4"/>
    </row>
    <row r="78" spans="1:17" ht="12.75">
      <c r="A78" s="153"/>
      <c r="B78" s="4"/>
      <c r="C78" s="153"/>
      <c r="D78" s="4"/>
      <c r="E78" s="11"/>
      <c r="F78" s="189"/>
      <c r="G78" s="5"/>
      <c r="H78" s="189" t="s">
        <v>174</v>
      </c>
      <c r="I78" s="5">
        <f>45742.06+6928.31</f>
        <v>52670.369999999995</v>
      </c>
      <c r="J78" s="11"/>
      <c r="K78" s="153"/>
      <c r="L78" s="4"/>
      <c r="M78" s="153"/>
      <c r="N78" s="4"/>
      <c r="P78" s="9">
        <v>45742.06</v>
      </c>
      <c r="Q78" s="9">
        <f>+P78-48800</f>
        <v>-3057.9400000000023</v>
      </c>
    </row>
    <row r="79" spans="1:14" ht="12.75">
      <c r="A79" s="153"/>
      <c r="B79" s="4"/>
      <c r="C79" s="153"/>
      <c r="D79" s="4"/>
      <c r="E79" s="11"/>
      <c r="F79" s="189"/>
      <c r="G79" s="5"/>
      <c r="H79" s="189" t="s">
        <v>174</v>
      </c>
      <c r="I79" s="5">
        <v>201481.79000000004</v>
      </c>
      <c r="J79" s="11"/>
      <c r="K79" s="153"/>
      <c r="L79" s="4"/>
      <c r="M79" s="153"/>
      <c r="N79" s="4"/>
    </row>
    <row r="80" spans="1:14" ht="12.75">
      <c r="A80" s="153"/>
      <c r="B80" s="4"/>
      <c r="C80" s="153"/>
      <c r="D80" s="4"/>
      <c r="E80" s="11"/>
      <c r="F80" s="189" t="s">
        <v>174</v>
      </c>
      <c r="G80" s="5">
        <v>233398.09000000003</v>
      </c>
      <c r="H80" s="189"/>
      <c r="I80" s="5"/>
      <c r="J80" s="11"/>
      <c r="K80" s="153"/>
      <c r="L80" s="4"/>
      <c r="M80" s="153"/>
      <c r="N80" s="4"/>
    </row>
    <row r="81" spans="1:14" ht="12.75">
      <c r="A81" s="153"/>
      <c r="B81" s="4"/>
      <c r="C81" s="153"/>
      <c r="D81" s="4"/>
      <c r="E81" s="11"/>
      <c r="F81" s="189" t="s">
        <v>174</v>
      </c>
      <c r="G81" s="5">
        <v>8808.24</v>
      </c>
      <c r="H81" s="189"/>
      <c r="I81" s="5"/>
      <c r="J81" s="11"/>
      <c r="K81" s="153"/>
      <c r="L81" s="4"/>
      <c r="M81" s="153"/>
      <c r="N81" s="4"/>
    </row>
    <row r="82" spans="1:14" ht="12.75">
      <c r="A82" s="186"/>
      <c r="B82" s="187">
        <f>IF((B76+B77+B78+B79+B81-D76-D77-D78-D79-D81)&gt;0,(B76+B77+B78+B79+B81-D76-D77-D78-D79-D81),0)</f>
        <v>0</v>
      </c>
      <c r="C82" s="188"/>
      <c r="D82" s="187">
        <f>IF((B76+B77+B78+B79+B80+B81-D76-D77-D78-D79-D80-D81)&lt;0,-(B76+B77+B78+B79+B80+B81-D76-D77-D78-D79-D80-D81),0)</f>
        <v>0</v>
      </c>
      <c r="E82" s="11"/>
      <c r="F82" s="186"/>
      <c r="G82" s="187">
        <f>IF((G76+G77+G78+G79+G81-I76-I77-I78-I79-I81)&gt;0,(G76+G77+G78+G79+G81-I76-I77-I78-I79-I81),0)</f>
        <v>0</v>
      </c>
      <c r="H82" s="188"/>
      <c r="I82" s="187">
        <f>IF((G76+G77+G78+G79+G80+G81-I76-I77-I78-I79-I80-I81)&lt;0,-(G76+G77+G78+G79+G80+G81-I76-I77-I78-I79-I80-I81),0)</f>
        <v>13010.100000000035</v>
      </c>
      <c r="J82" s="11"/>
      <c r="K82" s="186"/>
      <c r="L82" s="187">
        <f>IF((L76+L77+L78+L79+L81-N76-N77-N78-N79-N81)&gt;0,(L76+L77+L78+L79+L81-N76-N77-N78-N79-N81),0)</f>
        <v>0</v>
      </c>
      <c r="M82" s="188"/>
      <c r="N82" s="187">
        <f>IF((L76+L77+L78+L79+L80+L81-N76-N77-N78-N79-N80-N81)&lt;0,-(L76+L77+L78+L79+L80+L81-N76-N77-N78-N79-N80-N81),0)</f>
        <v>0</v>
      </c>
    </row>
    <row r="83" spans="1:14" ht="12.75">
      <c r="A83" s="154"/>
      <c r="B83" s="12"/>
      <c r="C83" s="154"/>
      <c r="D83" s="12"/>
      <c r="E83" s="11"/>
      <c r="F83" s="154"/>
      <c r="G83" s="12"/>
      <c r="H83" s="154"/>
      <c r="I83" s="12"/>
      <c r="J83" s="11"/>
      <c r="K83" s="154"/>
      <c r="L83" s="12"/>
      <c r="M83" s="154"/>
      <c r="N83" s="12"/>
    </row>
    <row r="85" spans="1:9" ht="15.75">
      <c r="A85" s="438" t="s">
        <v>235</v>
      </c>
      <c r="B85" s="438"/>
      <c r="C85" s="438"/>
      <c r="D85" s="438"/>
      <c r="E85" s="438"/>
      <c r="F85" s="438"/>
      <c r="G85" s="438"/>
      <c r="H85" s="438"/>
      <c r="I85" s="438"/>
    </row>
    <row r="86" spans="1:9" ht="12.75">
      <c r="A86" s="432" t="str">
        <f>+A2</f>
        <v>Caja</v>
      </c>
      <c r="B86" s="433"/>
      <c r="C86" s="433"/>
      <c r="D86" s="433"/>
      <c r="E86" s="433"/>
      <c r="F86" s="434"/>
      <c r="G86" s="2">
        <f>+B9</f>
        <v>2000</v>
      </c>
      <c r="H86" s="2"/>
      <c r="I86" s="2">
        <f>+D9</f>
        <v>0</v>
      </c>
    </row>
    <row r="87" spans="1:9" ht="12.75">
      <c r="A87" s="432" t="str">
        <f>+F2</f>
        <v>Bco. Santander C.C.</v>
      </c>
      <c r="B87" s="433"/>
      <c r="C87" s="433"/>
      <c r="D87" s="433"/>
      <c r="E87" s="433"/>
      <c r="F87" s="434"/>
      <c r="G87" s="2">
        <f>+G9</f>
        <v>300</v>
      </c>
      <c r="H87" s="2"/>
      <c r="I87" s="2">
        <f>+I9</f>
        <v>0</v>
      </c>
    </row>
    <row r="88" spans="1:9" ht="12.75">
      <c r="A88" s="432" t="str">
        <f>+K2</f>
        <v>Deudores por ventas</v>
      </c>
      <c r="B88" s="433"/>
      <c r="C88" s="433"/>
      <c r="D88" s="433"/>
      <c r="E88" s="433"/>
      <c r="F88" s="434"/>
      <c r="G88" s="2">
        <f>+L9</f>
        <v>7000</v>
      </c>
      <c r="H88" s="2"/>
      <c r="I88" s="2">
        <f>+N9</f>
        <v>0</v>
      </c>
    </row>
    <row r="89" spans="1:12" ht="12.75">
      <c r="A89" s="432" t="str">
        <f>+A11</f>
        <v>Intereses s/activos a devengar</v>
      </c>
      <c r="B89" s="433"/>
      <c r="C89" s="433"/>
      <c r="D89" s="433"/>
      <c r="E89" s="433"/>
      <c r="F89" s="434"/>
      <c r="G89" s="2">
        <f>+B18</f>
        <v>0</v>
      </c>
      <c r="H89" s="2"/>
      <c r="I89" s="2">
        <f>+D18</f>
        <v>64.89000000000033</v>
      </c>
      <c r="L89" s="190"/>
    </row>
    <row r="90" spans="1:9" ht="12.75">
      <c r="A90" s="432" t="str">
        <f>+F11</f>
        <v>Mercaderías</v>
      </c>
      <c r="B90" s="433"/>
      <c r="C90" s="433"/>
      <c r="D90" s="433"/>
      <c r="E90" s="433"/>
      <c r="F90" s="434"/>
      <c r="G90" s="2">
        <f>+G18</f>
        <v>133942.06</v>
      </c>
      <c r="H90" s="2"/>
      <c r="I90" s="2">
        <f>+I18</f>
        <v>0</v>
      </c>
    </row>
    <row r="91" spans="1:9" ht="12.75">
      <c r="A91" s="432" t="str">
        <f>+K11</f>
        <v>Muebles y Utilies</v>
      </c>
      <c r="B91" s="433"/>
      <c r="C91" s="433"/>
      <c r="D91" s="433"/>
      <c r="E91" s="433"/>
      <c r="F91" s="434"/>
      <c r="G91" s="2">
        <f>+L18</f>
        <v>959624.23</v>
      </c>
      <c r="H91" s="2"/>
      <c r="I91" s="2">
        <f>+N18</f>
        <v>0</v>
      </c>
    </row>
    <row r="92" spans="1:12" ht="12.75">
      <c r="A92" s="432" t="str">
        <f>+A20</f>
        <v>Amortización acumulada M y U</v>
      </c>
      <c r="B92" s="433"/>
      <c r="C92" s="433"/>
      <c r="D92" s="433"/>
      <c r="E92" s="433"/>
      <c r="F92" s="434"/>
      <c r="G92" s="2">
        <f>+B27</f>
        <v>0</v>
      </c>
      <c r="H92" s="2"/>
      <c r="I92" s="2">
        <f>+D27</f>
        <v>479812.11</v>
      </c>
      <c r="L92" s="190"/>
    </row>
    <row r="93" spans="1:9" ht="12.75">
      <c r="A93" s="432" t="str">
        <f>+F20</f>
        <v>Rodados</v>
      </c>
      <c r="B93" s="433"/>
      <c r="C93" s="433"/>
      <c r="D93" s="433"/>
      <c r="E93" s="433"/>
      <c r="F93" s="434"/>
      <c r="G93" s="2">
        <f>+G27</f>
        <v>1267385.37</v>
      </c>
      <c r="H93" s="2"/>
      <c r="I93" s="2">
        <f>+I27</f>
        <v>0</v>
      </c>
    </row>
    <row r="94" spans="1:12" ht="12.75">
      <c r="A94" s="432" t="str">
        <f>+K20</f>
        <v>Amortización acumulada Rodados</v>
      </c>
      <c r="B94" s="433"/>
      <c r="C94" s="433"/>
      <c r="D94" s="433"/>
      <c r="E94" s="433"/>
      <c r="F94" s="434"/>
      <c r="G94" s="2">
        <f>+L27</f>
        <v>0</v>
      </c>
      <c r="H94" s="2"/>
      <c r="I94" s="2">
        <f>+N27</f>
        <v>1267385.37</v>
      </c>
      <c r="L94" s="190"/>
    </row>
    <row r="95" spans="1:9" ht="12.75">
      <c r="A95" s="432" t="str">
        <f>+A29</f>
        <v>Proveedores</v>
      </c>
      <c r="B95" s="433"/>
      <c r="C95" s="433"/>
      <c r="D95" s="433"/>
      <c r="E95" s="433"/>
      <c r="F95" s="434"/>
      <c r="G95" s="2">
        <f>+B36</f>
        <v>0</v>
      </c>
      <c r="H95" s="2"/>
      <c r="I95" s="2">
        <f>+D36</f>
        <v>8000</v>
      </c>
    </row>
    <row r="96" spans="1:12" ht="12.75">
      <c r="A96" s="432" t="str">
        <f>+F29</f>
        <v>Intereses s/pasivos a devengar</v>
      </c>
      <c r="B96" s="433"/>
      <c r="C96" s="433"/>
      <c r="D96" s="433"/>
      <c r="E96" s="433"/>
      <c r="F96" s="434"/>
      <c r="G96" s="2">
        <f>+G36</f>
        <v>115.34000000000015</v>
      </c>
      <c r="H96" s="2"/>
      <c r="I96" s="2">
        <f>+I36</f>
        <v>0</v>
      </c>
      <c r="L96" s="190"/>
    </row>
    <row r="97" spans="1:9" ht="12.75">
      <c r="A97" s="432" t="str">
        <f>+K29</f>
        <v>Dividendos a pagar en efectivo</v>
      </c>
      <c r="B97" s="433"/>
      <c r="C97" s="433"/>
      <c r="D97" s="433"/>
      <c r="E97" s="433"/>
      <c r="F97" s="434"/>
      <c r="G97" s="2">
        <f>+L36</f>
        <v>0</v>
      </c>
      <c r="H97" s="2"/>
      <c r="I97" s="2">
        <f>+N36</f>
        <v>30525</v>
      </c>
    </row>
    <row r="98" spans="1:9" ht="12.75">
      <c r="A98" s="432" t="str">
        <f>+A38</f>
        <v>Capital Suscripto</v>
      </c>
      <c r="B98" s="433"/>
      <c r="C98" s="433"/>
      <c r="D98" s="433"/>
      <c r="E98" s="433"/>
      <c r="F98" s="434"/>
      <c r="G98" s="2">
        <f>+B45</f>
        <v>0</v>
      </c>
      <c r="H98" s="2"/>
      <c r="I98" s="2">
        <f>+D45</f>
        <v>5000</v>
      </c>
    </row>
    <row r="99" spans="1:9" ht="12.75">
      <c r="A99" s="432" t="str">
        <f>+F38</f>
        <v>Reserva Legal</v>
      </c>
      <c r="B99" s="433"/>
      <c r="C99" s="433"/>
      <c r="D99" s="433"/>
      <c r="E99" s="433"/>
      <c r="F99" s="434"/>
      <c r="G99" s="2">
        <f>+G45</f>
        <v>0</v>
      </c>
      <c r="H99" s="2"/>
      <c r="I99" s="2">
        <f>+I45</f>
        <v>2271.3</v>
      </c>
    </row>
    <row r="100" spans="1:9" ht="12.75">
      <c r="A100" s="432" t="str">
        <f>+K38</f>
        <v>Saldo de Remedición RT 48.</v>
      </c>
      <c r="B100" s="433"/>
      <c r="C100" s="433"/>
      <c r="D100" s="433"/>
      <c r="E100" s="433"/>
      <c r="F100" s="434"/>
      <c r="G100" s="2">
        <f>+L45</f>
        <v>0</v>
      </c>
      <c r="H100" s="2"/>
      <c r="I100" s="2">
        <f>+N45</f>
        <v>0</v>
      </c>
    </row>
    <row r="101" spans="1:9" ht="12.75">
      <c r="A101" s="432" t="str">
        <f>+A47</f>
        <v>Resultados no asignados</v>
      </c>
      <c r="B101" s="433"/>
      <c r="C101" s="433"/>
      <c r="D101" s="433"/>
      <c r="E101" s="433"/>
      <c r="F101" s="434"/>
      <c r="G101" s="2">
        <f>+B54</f>
        <v>0</v>
      </c>
      <c r="H101" s="2"/>
      <c r="I101" s="2">
        <f>+D54</f>
        <v>623910.67</v>
      </c>
    </row>
    <row r="102" spans="1:12" ht="12.75">
      <c r="A102" s="432" t="str">
        <f>+F47</f>
        <v>Ajuste del Capital</v>
      </c>
      <c r="B102" s="433"/>
      <c r="C102" s="433"/>
      <c r="D102" s="433"/>
      <c r="E102" s="433"/>
      <c r="F102" s="434"/>
      <c r="G102" s="2">
        <f>+G54</f>
        <v>0</v>
      </c>
      <c r="H102" s="2"/>
      <c r="I102" s="2">
        <f>+I54</f>
        <v>31870.050000000003</v>
      </c>
      <c r="L102" s="190"/>
    </row>
    <row r="103" spans="1:9" ht="12.75">
      <c r="A103" s="432">
        <f>+K47</f>
        <v>0</v>
      </c>
      <c r="B103" s="433"/>
      <c r="C103" s="433"/>
      <c r="D103" s="433"/>
      <c r="E103" s="433"/>
      <c r="F103" s="434"/>
      <c r="G103" s="2">
        <f>+L54</f>
        <v>0</v>
      </c>
      <c r="H103" s="2"/>
      <c r="I103" s="2">
        <f>+N54</f>
        <v>0</v>
      </c>
    </row>
    <row r="104" spans="1:12" ht="12.75">
      <c r="A104" s="432" t="str">
        <f>+A56</f>
        <v>Ventas</v>
      </c>
      <c r="B104" s="433"/>
      <c r="C104" s="433"/>
      <c r="D104" s="433"/>
      <c r="E104" s="433"/>
      <c r="F104" s="434"/>
      <c r="G104" s="2">
        <f>+B63</f>
        <v>0</v>
      </c>
      <c r="H104" s="2"/>
      <c r="I104" s="2">
        <f>+D63</f>
        <v>32289.39</v>
      </c>
      <c r="L104" s="190"/>
    </row>
    <row r="105" spans="1:9" ht="12.75">
      <c r="A105" s="432" t="str">
        <f>+F56</f>
        <v>Costo de Ventas</v>
      </c>
      <c r="B105" s="433"/>
      <c r="C105" s="433"/>
      <c r="D105" s="433"/>
      <c r="E105" s="433"/>
      <c r="F105" s="434"/>
      <c r="G105" s="2">
        <f>+G63</f>
        <v>20928.31</v>
      </c>
      <c r="H105" s="2"/>
      <c r="I105" s="2">
        <f>+I63</f>
        <v>0</v>
      </c>
    </row>
    <row r="106" spans="1:9" ht="12.75">
      <c r="A106" s="432" t="str">
        <f>+K56</f>
        <v>Amortización Muebles y utiles</v>
      </c>
      <c r="B106" s="433"/>
      <c r="C106" s="433"/>
      <c r="D106" s="433"/>
      <c r="E106" s="433"/>
      <c r="F106" s="434"/>
      <c r="G106" s="2">
        <f>+L63</f>
        <v>95962.42</v>
      </c>
      <c r="H106" s="2"/>
      <c r="I106" s="2">
        <f>+N63</f>
        <v>0</v>
      </c>
    </row>
    <row r="107" spans="1:9" ht="12.75">
      <c r="A107" s="432" t="str">
        <f>+A65</f>
        <v>Amortización Rodados</v>
      </c>
      <c r="B107" s="433"/>
      <c r="C107" s="433"/>
      <c r="D107" s="433"/>
      <c r="E107" s="433"/>
      <c r="F107" s="434"/>
      <c r="G107" s="2">
        <f>+B72</f>
        <v>0</v>
      </c>
      <c r="H107" s="2"/>
      <c r="I107" s="2">
        <f>+D72</f>
        <v>0</v>
      </c>
    </row>
    <row r="108" spans="1:9" ht="12.75">
      <c r="A108" s="432" t="str">
        <f>+F65</f>
        <v>Honorarios</v>
      </c>
      <c r="B108" s="433"/>
      <c r="C108" s="433"/>
      <c r="D108" s="433"/>
      <c r="E108" s="433"/>
      <c r="F108" s="434"/>
      <c r="G108" s="2">
        <f>+G72</f>
        <v>6881.15</v>
      </c>
      <c r="H108" s="2"/>
      <c r="I108" s="2">
        <f>+I72</f>
        <v>0</v>
      </c>
    </row>
    <row r="109" spans="1:9" ht="12.75">
      <c r="A109" s="432" t="str">
        <f>+K65</f>
        <v>Fletes Mercaderías remitidas</v>
      </c>
      <c r="B109" s="433"/>
      <c r="C109" s="433"/>
      <c r="D109" s="433"/>
      <c r="E109" s="433"/>
      <c r="F109" s="434"/>
      <c r="G109" s="2">
        <f>+L72</f>
        <v>0</v>
      </c>
      <c r="H109" s="2"/>
      <c r="I109" s="2">
        <f>+N72</f>
        <v>0</v>
      </c>
    </row>
    <row r="110" spans="1:9" ht="12.75">
      <c r="A110" s="432" t="str">
        <f>+A74</f>
        <v>Intereses cedidos</v>
      </c>
      <c r="B110" s="433"/>
      <c r="C110" s="433"/>
      <c r="D110" s="433"/>
      <c r="E110" s="433"/>
      <c r="F110" s="434"/>
      <c r="G110" s="2">
        <f>+B82</f>
        <v>0</v>
      </c>
      <c r="H110" s="2"/>
      <c r="I110" s="2">
        <f>+D82</f>
        <v>0</v>
      </c>
    </row>
    <row r="111" spans="1:16" ht="12.75">
      <c r="A111" s="432" t="str">
        <f>+F74</f>
        <v>RFT</v>
      </c>
      <c r="B111" s="433"/>
      <c r="C111" s="433"/>
      <c r="D111" s="433"/>
      <c r="E111" s="433"/>
      <c r="F111" s="434"/>
      <c r="G111" s="2">
        <f>+G82</f>
        <v>0</v>
      </c>
      <c r="H111" s="2"/>
      <c r="I111" s="2">
        <f>+I82</f>
        <v>13010.100000000035</v>
      </c>
      <c r="L111" s="190"/>
      <c r="N111" s="190"/>
      <c r="O111" s="190"/>
      <c r="P111" s="190"/>
    </row>
    <row r="112" spans="1:9" ht="12.75">
      <c r="A112" s="432">
        <f>+K74</f>
        <v>0</v>
      </c>
      <c r="B112" s="433"/>
      <c r="C112" s="433"/>
      <c r="D112" s="433"/>
      <c r="E112" s="433"/>
      <c r="F112" s="434"/>
      <c r="G112" s="2">
        <f>+L82</f>
        <v>0</v>
      </c>
      <c r="H112" s="2"/>
      <c r="I112" s="2">
        <f>+N82</f>
        <v>0</v>
      </c>
    </row>
    <row r="113" spans="1:16" ht="18">
      <c r="A113" s="435" t="s">
        <v>20</v>
      </c>
      <c r="B113" s="436"/>
      <c r="C113" s="436"/>
      <c r="D113" s="436"/>
      <c r="E113" s="436"/>
      <c r="F113" s="437"/>
      <c r="G113" s="205">
        <f>SUM(G86:G112)</f>
        <v>2494138.88</v>
      </c>
      <c r="H113" s="205"/>
      <c r="I113" s="205">
        <f>SUM(I86:I112)</f>
        <v>2494138.8800000004</v>
      </c>
      <c r="L113" s="190">
        <f>+G86+G87+G88-I89+G90+G91-I92+G93-I94</f>
        <v>622989.29</v>
      </c>
      <c r="N113" s="190">
        <f>+I95-G96+I97</f>
        <v>38409.66</v>
      </c>
      <c r="O113" s="190">
        <f>+L113-N113</f>
        <v>584579.63</v>
      </c>
      <c r="P113" s="190">
        <f>+N113+O113-L113</f>
        <v>0</v>
      </c>
    </row>
    <row r="114" ht="12.75">
      <c r="O114" s="190">
        <f>+I98+I99+I101+I102</f>
        <v>663052.0200000001</v>
      </c>
    </row>
    <row r="115" ht="12.75">
      <c r="O115" s="190">
        <f>+I104+I111-G105-G106-G108</f>
        <v>-78472.38999999996</v>
      </c>
    </row>
    <row r="116" spans="9:15" ht="12.75">
      <c r="I116" s="190">
        <f>+G113-I113</f>
        <v>0</v>
      </c>
      <c r="L116" s="190"/>
      <c r="O116" s="190">
        <f>+O114+O115</f>
        <v>584579.6300000001</v>
      </c>
    </row>
    <row r="117" ht="12.75">
      <c r="O117" s="190">
        <f>+O113-O116</f>
        <v>0</v>
      </c>
    </row>
  </sheetData>
  <sheetProtection/>
  <mergeCells count="63">
    <mergeCell ref="C51:C52"/>
    <mergeCell ref="D51:D52"/>
    <mergeCell ref="K74:N74"/>
    <mergeCell ref="F74:I74"/>
    <mergeCell ref="A74:D74"/>
    <mergeCell ref="A65:D65"/>
    <mergeCell ref="F65:I65"/>
    <mergeCell ref="K65:N65"/>
    <mergeCell ref="A1:N1"/>
    <mergeCell ref="H49:H50"/>
    <mergeCell ref="I49:I50"/>
    <mergeCell ref="A56:D56"/>
    <mergeCell ref="F56:I56"/>
    <mergeCell ref="K56:N56"/>
    <mergeCell ref="A38:D38"/>
    <mergeCell ref="F38:I38"/>
    <mergeCell ref="K38:N38"/>
    <mergeCell ref="A47:D47"/>
    <mergeCell ref="F47:I47"/>
    <mergeCell ref="K47:N47"/>
    <mergeCell ref="A20:D20"/>
    <mergeCell ref="F20:I20"/>
    <mergeCell ref="K20:N20"/>
    <mergeCell ref="A29:D29"/>
    <mergeCell ref="F29:I29"/>
    <mergeCell ref="K29:N29"/>
    <mergeCell ref="K41:K42"/>
    <mergeCell ref="L41:L42"/>
    <mergeCell ref="A2:D2"/>
    <mergeCell ref="F2:I2"/>
    <mergeCell ref="K2:N2"/>
    <mergeCell ref="A11:D11"/>
    <mergeCell ref="F11:I11"/>
    <mergeCell ref="K11:N11"/>
    <mergeCell ref="A91:F91"/>
    <mergeCell ref="A92:F92"/>
    <mergeCell ref="A93:F93"/>
    <mergeCell ref="A94:F94"/>
    <mergeCell ref="A95:F95"/>
    <mergeCell ref="A86:F86"/>
    <mergeCell ref="A87:F87"/>
    <mergeCell ref="A88:F88"/>
    <mergeCell ref="A89:F89"/>
    <mergeCell ref="A90:F90"/>
    <mergeCell ref="A111:F111"/>
    <mergeCell ref="A112:F112"/>
    <mergeCell ref="A113:F113"/>
    <mergeCell ref="A85:I85"/>
    <mergeCell ref="A106:F106"/>
    <mergeCell ref="A107:F107"/>
    <mergeCell ref="A108:F108"/>
    <mergeCell ref="A109:F109"/>
    <mergeCell ref="A110:F110"/>
    <mergeCell ref="A101:F101"/>
    <mergeCell ref="A102:F102"/>
    <mergeCell ref="A103:F103"/>
    <mergeCell ref="A104:F104"/>
    <mergeCell ref="A105:F105"/>
    <mergeCell ref="A96:F96"/>
    <mergeCell ref="A97:F97"/>
    <mergeCell ref="A99:F99"/>
    <mergeCell ref="A100:F100"/>
    <mergeCell ref="A98:F9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4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34.28125" style="0" customWidth="1"/>
    <col min="2" max="2" width="12.421875" style="0" customWidth="1"/>
    <col min="3" max="3" width="12.28125" style="0" customWidth="1"/>
    <col min="10" max="10" width="12.7109375" style="0" customWidth="1"/>
    <col min="11" max="11" width="12.57421875" style="0" customWidth="1"/>
    <col min="12" max="12" width="12.57421875" style="0" bestFit="1" customWidth="1"/>
  </cols>
  <sheetData>
    <row r="1" spans="1:11" ht="15">
      <c r="A1" s="327" t="s">
        <v>21</v>
      </c>
      <c r="B1" s="327"/>
      <c r="C1" s="327"/>
      <c r="D1" s="327"/>
      <c r="E1" s="327"/>
      <c r="F1" s="327"/>
      <c r="G1" s="1"/>
      <c r="H1" s="1"/>
      <c r="I1" s="1"/>
      <c r="J1" s="1"/>
      <c r="K1" s="1"/>
    </row>
    <row r="2" spans="1:11" ht="15">
      <c r="A2" s="334" t="s">
        <v>197</v>
      </c>
      <c r="B2" s="334"/>
      <c r="C2" s="334"/>
      <c r="D2" s="334"/>
      <c r="E2" s="334"/>
      <c r="F2" s="334"/>
      <c r="G2" s="1"/>
      <c r="H2" s="1"/>
      <c r="I2" s="1"/>
      <c r="J2" s="1"/>
      <c r="K2" s="1"/>
    </row>
    <row r="3" spans="1:11" ht="15.75">
      <c r="A3" s="2"/>
      <c r="B3" s="332" t="s">
        <v>31</v>
      </c>
      <c r="C3" s="333"/>
      <c r="D3" s="330">
        <v>43466</v>
      </c>
      <c r="E3" s="331"/>
      <c r="F3" s="330">
        <v>43525</v>
      </c>
      <c r="G3" s="331"/>
      <c r="H3" s="330">
        <v>43556</v>
      </c>
      <c r="I3" s="331"/>
      <c r="J3" s="332" t="s">
        <v>32</v>
      </c>
      <c r="K3" s="333"/>
    </row>
    <row r="4" spans="1:11" ht="15">
      <c r="A4" s="2"/>
      <c r="B4" s="3" t="s">
        <v>0</v>
      </c>
      <c r="C4" s="3" t="s">
        <v>1</v>
      </c>
      <c r="D4" s="3" t="s">
        <v>0</v>
      </c>
      <c r="E4" s="3" t="s">
        <v>1</v>
      </c>
      <c r="F4" s="3" t="s">
        <v>0</v>
      </c>
      <c r="G4" s="3" t="s">
        <v>1</v>
      </c>
      <c r="H4" s="3" t="s">
        <v>0</v>
      </c>
      <c r="I4" s="3" t="s">
        <v>1</v>
      </c>
      <c r="J4" s="3" t="s">
        <v>0</v>
      </c>
      <c r="K4" s="3" t="s">
        <v>1</v>
      </c>
    </row>
    <row r="5" spans="1:11" ht="15">
      <c r="A5" s="2" t="s">
        <v>2</v>
      </c>
      <c r="B5" s="2">
        <v>6000</v>
      </c>
      <c r="C5" s="2"/>
      <c r="D5" s="314">
        <f>23000+16000</f>
        <v>39000</v>
      </c>
      <c r="E5" s="314">
        <v>38000</v>
      </c>
      <c r="F5" s="2"/>
      <c r="G5" s="2">
        <v>5000</v>
      </c>
      <c r="H5" s="2"/>
      <c r="I5" s="2"/>
      <c r="J5" s="2">
        <f>IF((+B5-C5+D5-E5+F5-G5+H5-I5)&gt;0,(+B5-C5+D5-E5+F5-G5+H5-I5),0)</f>
        <v>2000</v>
      </c>
      <c r="K5" s="2">
        <f>IF((+B5-C5+D5-E5+F5-G5+H5-I5)&lt;0,-(+B5-C5+D5-E5+F5-G5+H5-I5),0)</f>
        <v>0</v>
      </c>
    </row>
    <row r="6" spans="1:13" ht="15">
      <c r="A6" s="2" t="s">
        <v>3</v>
      </c>
      <c r="B6" s="2">
        <v>500</v>
      </c>
      <c r="C6" s="2"/>
      <c r="D6" s="314">
        <v>4000</v>
      </c>
      <c r="E6" s="314"/>
      <c r="F6" s="2"/>
      <c r="G6" s="2">
        <v>4200</v>
      </c>
      <c r="H6" s="2"/>
      <c r="I6" s="2"/>
      <c r="J6" s="2">
        <f aca="true" t="shared" si="0" ref="J6:J30">IF((+B6-C6+D6-E6+F6-G6+H6-I6)&gt;0,(+B6-C6+D6-E6+F6-G6+H6-I6),0)</f>
        <v>300</v>
      </c>
      <c r="K6" s="2">
        <f aca="true" t="shared" si="1" ref="K6:K30">IF((+B6-C6+D6-E6+F6-G6+H6-I6)&lt;0,-(+B6-C6+D6-E6+F6-G6+H6-I6),0)</f>
        <v>0</v>
      </c>
      <c r="L6" s="6"/>
      <c r="M6" s="6"/>
    </row>
    <row r="7" spans="1:12" ht="15">
      <c r="A7" s="2" t="s">
        <v>4</v>
      </c>
      <c r="B7" s="2">
        <v>27000</v>
      </c>
      <c r="C7" s="2"/>
      <c r="D7" s="314">
        <v>7000</v>
      </c>
      <c r="E7" s="314">
        <v>27000</v>
      </c>
      <c r="F7" s="2"/>
      <c r="G7" s="2"/>
      <c r="H7" s="2"/>
      <c r="I7" s="2"/>
      <c r="J7" s="2">
        <f t="shared" si="0"/>
        <v>7000</v>
      </c>
      <c r="K7" s="2">
        <f t="shared" si="1"/>
        <v>0</v>
      </c>
      <c r="L7" s="6">
        <f>+J7-L8</f>
        <v>6935.11</v>
      </c>
    </row>
    <row r="8" spans="1:13" ht="15">
      <c r="A8" s="2" t="s">
        <v>27</v>
      </c>
      <c r="B8" s="2"/>
      <c r="C8" s="2">
        <v>161.67000000000007</v>
      </c>
      <c r="D8" s="314">
        <v>161.67000000000007</v>
      </c>
      <c r="E8" s="314">
        <v>1400</v>
      </c>
      <c r="F8" s="2"/>
      <c r="G8" s="2"/>
      <c r="H8" s="2"/>
      <c r="I8" s="2"/>
      <c r="J8" s="2">
        <f t="shared" si="0"/>
        <v>0</v>
      </c>
      <c r="K8" s="2">
        <f t="shared" si="1"/>
        <v>1400</v>
      </c>
      <c r="L8" s="6">
        <f>+K8-'M CR C'!D26</f>
        <v>64.89000000000033</v>
      </c>
      <c r="M8" s="6"/>
    </row>
    <row r="9" spans="1:12" ht="15">
      <c r="A9" s="2" t="s">
        <v>5</v>
      </c>
      <c r="B9" s="4">
        <v>90000</v>
      </c>
      <c r="C9" s="4"/>
      <c r="D9" s="2"/>
      <c r="E9" s="2">
        <v>14000</v>
      </c>
      <c r="F9" s="2">
        <v>4200</v>
      </c>
      <c r="G9" s="2"/>
      <c r="H9" s="314">
        <v>8000</v>
      </c>
      <c r="I9" s="314"/>
      <c r="J9" s="2">
        <f t="shared" si="0"/>
        <v>88200</v>
      </c>
      <c r="K9" s="2">
        <f t="shared" si="1"/>
        <v>0</v>
      </c>
      <c r="L9" s="6">
        <f>+J9+'R BC C'!F31</f>
        <v>133942.06</v>
      </c>
    </row>
    <row r="10" spans="1:12" ht="15">
      <c r="A10" s="2" t="s">
        <v>8</v>
      </c>
      <c r="B10" s="4">
        <v>623821.25</v>
      </c>
      <c r="C10" s="4"/>
      <c r="D10" s="2"/>
      <c r="E10" s="2"/>
      <c r="F10" s="2"/>
      <c r="G10" s="2"/>
      <c r="H10" s="314"/>
      <c r="I10" s="314"/>
      <c r="J10" s="2">
        <f t="shared" si="0"/>
        <v>623821.25</v>
      </c>
      <c r="K10" s="2">
        <f t="shared" si="1"/>
        <v>0</v>
      </c>
      <c r="L10" s="6">
        <f>+J10+'R BU C'!F21</f>
        <v>959624.23</v>
      </c>
    </row>
    <row r="11" spans="1:13" ht="15">
      <c r="A11" s="2" t="s">
        <v>9</v>
      </c>
      <c r="B11" s="4"/>
      <c r="C11" s="4">
        <v>249528.5</v>
      </c>
      <c r="D11" s="2"/>
      <c r="E11" s="2"/>
      <c r="F11" s="2"/>
      <c r="G11" s="2"/>
      <c r="H11" s="314"/>
      <c r="I11" s="314"/>
      <c r="J11" s="2">
        <f t="shared" si="0"/>
        <v>0</v>
      </c>
      <c r="K11" s="2">
        <f t="shared" si="1"/>
        <v>249528.5</v>
      </c>
      <c r="L11" s="6">
        <f>+K11+'R BU C'!G23+'R BU C'!G30</f>
        <v>479812.11</v>
      </c>
      <c r="M11" s="6">
        <f>+L10-L11</f>
        <v>479812.12</v>
      </c>
    </row>
    <row r="12" spans="1:12" ht="15">
      <c r="A12" s="2" t="s">
        <v>6</v>
      </c>
      <c r="B12" s="4">
        <v>823887</v>
      </c>
      <c r="C12" s="4"/>
      <c r="D12" s="2"/>
      <c r="E12" s="2"/>
      <c r="F12" s="2"/>
      <c r="G12" s="2"/>
      <c r="H12" s="314"/>
      <c r="I12" s="314"/>
      <c r="J12" s="2">
        <f t="shared" si="0"/>
        <v>823887</v>
      </c>
      <c r="K12" s="2">
        <f t="shared" si="1"/>
        <v>0</v>
      </c>
      <c r="L12" s="6">
        <f>+J12+'R BU C'!F22</f>
        <v>1267385.37</v>
      </c>
    </row>
    <row r="13" spans="1:12" ht="15">
      <c r="A13" s="2" t="s">
        <v>7</v>
      </c>
      <c r="B13" s="4"/>
      <c r="C13" s="4">
        <v>823887</v>
      </c>
      <c r="D13" s="2"/>
      <c r="E13" s="2"/>
      <c r="F13" s="2"/>
      <c r="G13" s="2"/>
      <c r="H13" s="314"/>
      <c r="I13" s="314"/>
      <c r="J13" s="2">
        <f t="shared" si="0"/>
        <v>0</v>
      </c>
      <c r="K13" s="2">
        <f t="shared" si="1"/>
        <v>823887</v>
      </c>
      <c r="L13" s="6">
        <f>+K13+'R BU C'!G24</f>
        <v>1267385.37</v>
      </c>
    </row>
    <row r="14" spans="1:12" ht="15">
      <c r="A14" s="2" t="s">
        <v>10</v>
      </c>
      <c r="B14" s="4"/>
      <c r="C14" s="4">
        <v>38000</v>
      </c>
      <c r="D14" s="2">
        <v>38000</v>
      </c>
      <c r="E14" s="2"/>
      <c r="F14" s="2"/>
      <c r="G14" s="2"/>
      <c r="H14" s="314"/>
      <c r="I14" s="314">
        <v>8000</v>
      </c>
      <c r="J14" s="2">
        <f t="shared" si="0"/>
        <v>0</v>
      </c>
      <c r="K14" s="2">
        <f t="shared" si="1"/>
        <v>8000</v>
      </c>
      <c r="L14" s="6">
        <f>+K14-L15</f>
        <v>7884.66</v>
      </c>
    </row>
    <row r="15" spans="1:13" ht="15">
      <c r="A15" s="2" t="s">
        <v>28</v>
      </c>
      <c r="B15" s="4">
        <v>547.8499999999999</v>
      </c>
      <c r="C15" s="4"/>
      <c r="D15" s="2"/>
      <c r="E15" s="2">
        <v>547.8499999999999</v>
      </c>
      <c r="F15" s="2"/>
      <c r="G15" s="2"/>
      <c r="H15" s="314"/>
      <c r="I15" s="314"/>
      <c r="J15" s="2">
        <f t="shared" si="0"/>
        <v>0</v>
      </c>
      <c r="K15" s="2">
        <f t="shared" si="1"/>
        <v>0</v>
      </c>
      <c r="L15" s="315">
        <v>115.34000000000015</v>
      </c>
      <c r="M15" s="315"/>
    </row>
    <row r="16" spans="1:11" ht="15">
      <c r="A16" s="2" t="s">
        <v>30</v>
      </c>
      <c r="B16" s="4"/>
      <c r="C16" s="4">
        <v>20350</v>
      </c>
      <c r="D16" s="2"/>
      <c r="E16" s="2"/>
      <c r="F16" s="2"/>
      <c r="G16" s="2"/>
      <c r="H16" s="314"/>
      <c r="I16" s="314">
        <v>10175</v>
      </c>
      <c r="J16" s="2">
        <f t="shared" si="0"/>
        <v>0</v>
      </c>
      <c r="K16" s="2">
        <f t="shared" si="1"/>
        <v>30525</v>
      </c>
    </row>
    <row r="17" spans="1:11" ht="15">
      <c r="A17" s="2" t="s">
        <v>11</v>
      </c>
      <c r="B17" s="4"/>
      <c r="C17" s="4">
        <v>5000</v>
      </c>
      <c r="D17" s="2"/>
      <c r="E17" s="2"/>
      <c r="F17" s="2"/>
      <c r="G17" s="2"/>
      <c r="H17" s="314"/>
      <c r="I17" s="314"/>
      <c r="J17" s="2">
        <f t="shared" si="0"/>
        <v>0</v>
      </c>
      <c r="K17" s="2">
        <f t="shared" si="1"/>
        <v>5000</v>
      </c>
    </row>
    <row r="18" spans="1:12" ht="15">
      <c r="A18" s="2" t="s">
        <v>12</v>
      </c>
      <c r="B18" s="4"/>
      <c r="C18" s="4">
        <v>1476.5</v>
      </c>
      <c r="D18" s="2"/>
      <c r="E18" s="2"/>
      <c r="F18" s="2"/>
      <c r="G18" s="2"/>
      <c r="H18" s="314"/>
      <c r="I18" s="314"/>
      <c r="J18" s="2">
        <f t="shared" si="0"/>
        <v>0</v>
      </c>
      <c r="K18" s="2">
        <f t="shared" si="1"/>
        <v>1476.5</v>
      </c>
      <c r="L18" s="6">
        <f>+K18+'R PN C'!C53</f>
        <v>2271.3</v>
      </c>
    </row>
    <row r="19" spans="1:12" ht="15">
      <c r="A19" s="2" t="s">
        <v>13</v>
      </c>
      <c r="B19" s="4"/>
      <c r="C19" s="4">
        <v>414384.38</v>
      </c>
      <c r="D19" s="2"/>
      <c r="E19" s="2"/>
      <c r="F19" s="2"/>
      <c r="G19" s="2"/>
      <c r="H19" s="314">
        <v>10175</v>
      </c>
      <c r="I19" s="314"/>
      <c r="J19" s="2">
        <f t="shared" si="0"/>
        <v>0</v>
      </c>
      <c r="K19" s="2">
        <f t="shared" si="1"/>
        <v>404209.38</v>
      </c>
      <c r="L19" s="6">
        <f>+K19+'R PN C'!C54</f>
        <v>623910.67</v>
      </c>
    </row>
    <row r="20" spans="1:13" ht="15">
      <c r="A20" s="2" t="s">
        <v>145</v>
      </c>
      <c r="B20" s="4"/>
      <c r="C20" s="4">
        <v>18968.05</v>
      </c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18968.05</v>
      </c>
      <c r="L20" s="6">
        <f>+K20+'R PN C'!C51</f>
        <v>31870.050000000003</v>
      </c>
      <c r="M20" s="6">
        <f>+L20+K17</f>
        <v>36870.05</v>
      </c>
    </row>
    <row r="21" spans="1:11" ht="15">
      <c r="A21" s="2"/>
      <c r="B21" s="4"/>
      <c r="C21" s="4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2" ht="15">
      <c r="A22" s="2" t="s">
        <v>14</v>
      </c>
      <c r="B22" s="4"/>
      <c r="C22" s="4"/>
      <c r="D22" s="2"/>
      <c r="E22" s="2">
        <v>21600</v>
      </c>
      <c r="F22" s="2"/>
      <c r="G22" s="2"/>
      <c r="H22" s="2"/>
      <c r="I22" s="2"/>
      <c r="J22" s="2">
        <f t="shared" si="0"/>
        <v>0</v>
      </c>
      <c r="K22" s="2">
        <f t="shared" si="1"/>
        <v>21600</v>
      </c>
      <c r="L22" s="6">
        <f>+K22+'R R C'!G44</f>
        <v>32289.39</v>
      </c>
    </row>
    <row r="23" spans="1:12" ht="15">
      <c r="A23" s="2" t="s">
        <v>15</v>
      </c>
      <c r="B23" s="4"/>
      <c r="C23" s="4"/>
      <c r="D23" s="2">
        <v>14000</v>
      </c>
      <c r="E23" s="2"/>
      <c r="F23" s="2"/>
      <c r="G23" s="2"/>
      <c r="H23" s="2"/>
      <c r="I23" s="2"/>
      <c r="J23" s="2">
        <f t="shared" si="0"/>
        <v>14000</v>
      </c>
      <c r="K23" s="2">
        <f t="shared" si="1"/>
        <v>0</v>
      </c>
      <c r="L23" s="6">
        <f>+J23+'R BC C'!J31</f>
        <v>20928.31</v>
      </c>
    </row>
    <row r="24" spans="1:11" ht="15">
      <c r="A24" s="2" t="s">
        <v>17</v>
      </c>
      <c r="B24" s="4"/>
      <c r="C24" s="4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ht="15">
      <c r="A25" s="2" t="s">
        <v>16</v>
      </c>
      <c r="B25" s="4"/>
      <c r="C25" s="4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2" ht="15">
      <c r="A26" s="2" t="s">
        <v>18</v>
      </c>
      <c r="B26" s="4"/>
      <c r="C26" s="4"/>
      <c r="D26" s="2"/>
      <c r="E26" s="2"/>
      <c r="F26" s="2">
        <v>5000</v>
      </c>
      <c r="G26" s="2"/>
      <c r="H26" s="2"/>
      <c r="I26" s="2"/>
      <c r="J26" s="2">
        <f t="shared" si="0"/>
        <v>5000</v>
      </c>
      <c r="K26" s="2">
        <f t="shared" si="1"/>
        <v>0</v>
      </c>
      <c r="L26" s="6">
        <f>+J26+'R R C'!F45</f>
        <v>6881.15</v>
      </c>
    </row>
    <row r="27" spans="1:11" ht="15">
      <c r="A27" s="2" t="s">
        <v>19</v>
      </c>
      <c r="B27" s="4"/>
      <c r="C27" s="4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ht="15">
      <c r="A28" s="2" t="s">
        <v>147</v>
      </c>
      <c r="B28" s="4"/>
      <c r="C28" s="4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ht="15">
      <c r="A29" s="2" t="s">
        <v>143</v>
      </c>
      <c r="B29" s="4"/>
      <c r="C29" s="4"/>
      <c r="D29" s="2">
        <v>547.8499999999999</v>
      </c>
      <c r="E29" s="314">
        <v>161.67000000000007</v>
      </c>
      <c r="F29" s="2"/>
      <c r="G29" s="2"/>
      <c r="H29" s="2"/>
      <c r="I29" s="2"/>
      <c r="J29" s="2">
        <f>IF((+B29-C29+D29-E29+F29-G29+H29-I29)&gt;0,(+B29-C29+D29-E29+F29-G29+H29-I29),0)</f>
        <v>386.17999999999984</v>
      </c>
      <c r="K29" s="2">
        <f>IF((+B29-C29+D29-E29+F29-G29+H29-I29)&lt;0,-(+B29-C29+D29-E29+F29-G29+H29-I29),0)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ht="15">
      <c r="A31" s="2" t="s">
        <v>20</v>
      </c>
      <c r="B31" s="312">
        <f>SUM(B5:B30)</f>
        <v>1571756.1</v>
      </c>
      <c r="C31" s="312">
        <f>SUM(C5:C30)</f>
        <v>1571756.0999999999</v>
      </c>
      <c r="D31" s="312">
        <f aca="true" t="shared" si="2" ref="D31:I31">SUM(D5:D30)</f>
        <v>102709.52</v>
      </c>
      <c r="E31" s="312">
        <f t="shared" si="2"/>
        <v>102709.52</v>
      </c>
      <c r="F31" s="312">
        <f t="shared" si="2"/>
        <v>9200</v>
      </c>
      <c r="G31" s="312">
        <f t="shared" si="2"/>
        <v>9200</v>
      </c>
      <c r="H31" s="312">
        <f t="shared" si="2"/>
        <v>18175</v>
      </c>
      <c r="I31" s="312">
        <f t="shared" si="2"/>
        <v>18175</v>
      </c>
      <c r="J31" s="2">
        <f>SUM(J5:J30)</f>
        <v>1564594.43</v>
      </c>
      <c r="K31" s="2">
        <f>SUM(K5:K30)</f>
        <v>1564594.43</v>
      </c>
    </row>
    <row r="32" ht="15">
      <c r="K32" s="6"/>
    </row>
    <row r="33" spans="2:11" ht="15">
      <c r="B33" s="6">
        <f>SUM('REG19 A A'!B6:B22)</f>
        <v>1571756.1</v>
      </c>
      <c r="C33" s="6">
        <f>SUM('REG19 A A'!C6:C22)</f>
        <v>1571756.1</v>
      </c>
      <c r="D33" s="6">
        <f>SUM('REG19 A A'!B24:B41)</f>
        <v>102709.51999999999</v>
      </c>
      <c r="E33" s="6">
        <f>SUM('REG19 A A'!C24:C41)</f>
        <v>102709.51999999999</v>
      </c>
      <c r="F33" s="6">
        <f>SUM('REG19 A A'!B43:B47)</f>
        <v>9200</v>
      </c>
      <c r="G33" s="6">
        <f>SUM('REG19 A A'!C43:C47)</f>
        <v>9200</v>
      </c>
      <c r="H33" s="6">
        <f>SUM('REG19 A A'!B49:B53)</f>
        <v>18175</v>
      </c>
      <c r="I33" s="6">
        <f>SUM('REG19 A A'!C49:C53)</f>
        <v>18175</v>
      </c>
      <c r="J33" s="6">
        <f>B33+D33+F33+H33</f>
        <v>1701840.62</v>
      </c>
      <c r="K33" s="6">
        <f>+C33+E33+G33+I33</f>
        <v>1701840.62</v>
      </c>
    </row>
    <row r="34" spans="2:5" ht="15">
      <c r="B34" s="6"/>
      <c r="C34" s="6"/>
      <c r="D34" s="6"/>
      <c r="E34" s="6"/>
    </row>
  </sheetData>
  <sheetProtection/>
  <mergeCells count="7">
    <mergeCell ref="H3:I3"/>
    <mergeCell ref="J3:K3"/>
    <mergeCell ref="A1:F1"/>
    <mergeCell ref="A2:F2"/>
    <mergeCell ref="B3:C3"/>
    <mergeCell ref="D3:E3"/>
    <mergeCell ref="F3:G3"/>
  </mergeCells>
  <printOptions/>
  <pageMargins left="0.38" right="0.32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zoomScalePageLayoutView="0" workbookViewId="0" topLeftCell="A4">
      <selection activeCell="A26" sqref="A26:C26"/>
    </sheetView>
  </sheetViews>
  <sheetFormatPr defaultColWidth="13.28125" defaultRowHeight="15"/>
  <cols>
    <col min="1" max="1" width="5.28125" style="18" customWidth="1"/>
    <col min="2" max="2" width="17.00390625" style="18" bestFit="1" customWidth="1"/>
    <col min="3" max="3" width="16.8515625" style="18" customWidth="1"/>
    <col min="4" max="4" width="13.28125" style="18" customWidth="1"/>
    <col min="5" max="5" width="15.57421875" style="18" customWidth="1"/>
    <col min="6" max="6" width="12.57421875" style="18" customWidth="1"/>
    <col min="7" max="7" width="17.28125" style="18" customWidth="1"/>
    <col min="8" max="8" width="20.00390625" style="18" customWidth="1"/>
    <col min="9" max="16384" width="13.28125" style="18" customWidth="1"/>
  </cols>
  <sheetData>
    <row r="1" spans="1:8" s="15" customFormat="1" ht="15.75">
      <c r="A1" s="346" t="s">
        <v>37</v>
      </c>
      <c r="B1" s="346"/>
      <c r="C1" s="346"/>
      <c r="D1" s="346"/>
      <c r="E1" s="346"/>
      <c r="F1" s="346"/>
      <c r="G1" s="346"/>
      <c r="H1" s="346"/>
    </row>
    <row r="2" spans="1:8" s="15" customFormat="1" ht="15.75">
      <c r="A2" s="347" t="s">
        <v>38</v>
      </c>
      <c r="B2" s="347"/>
      <c r="C2" s="347"/>
      <c r="D2" s="347"/>
      <c r="E2" s="347"/>
      <c r="F2" s="347"/>
      <c r="G2" s="347"/>
      <c r="H2" s="347"/>
    </row>
    <row r="3" spans="1:8" s="15" customFormat="1" ht="20.25" thickBot="1">
      <c r="A3" s="344" t="s">
        <v>158</v>
      </c>
      <c r="B3" s="345"/>
      <c r="C3" s="345"/>
      <c r="D3" s="345"/>
      <c r="E3" s="345"/>
      <c r="F3" s="345"/>
      <c r="G3" s="345"/>
      <c r="H3" s="345"/>
    </row>
    <row r="4" spans="1:8" s="15" customFormat="1" ht="16.5" thickBot="1">
      <c r="A4" s="16"/>
      <c r="B4" s="348" t="s">
        <v>39</v>
      </c>
      <c r="C4" s="348"/>
      <c r="D4" s="349"/>
      <c r="E4" s="208">
        <v>43830</v>
      </c>
      <c r="F4" s="16"/>
      <c r="G4" s="16"/>
      <c r="H4" s="16"/>
    </row>
    <row r="5" spans="1:8" ht="13.5" thickBot="1">
      <c r="A5" s="17"/>
      <c r="B5" s="17"/>
      <c r="C5" s="17"/>
      <c r="D5" s="17"/>
      <c r="E5" s="17"/>
      <c r="F5" s="17"/>
      <c r="G5" s="17"/>
      <c r="H5" s="17"/>
    </row>
    <row r="6" spans="1:8" ht="13.5" thickBot="1">
      <c r="A6" s="19" t="s">
        <v>40</v>
      </c>
      <c r="B6" s="213" t="s">
        <v>41</v>
      </c>
      <c r="C6" s="20" t="s">
        <v>42</v>
      </c>
      <c r="D6" s="21" t="s">
        <v>43</v>
      </c>
      <c r="E6" s="21" t="s">
        <v>44</v>
      </c>
      <c r="F6" s="213" t="s">
        <v>45</v>
      </c>
      <c r="G6" s="21" t="s">
        <v>41</v>
      </c>
      <c r="H6" s="21" t="s">
        <v>46</v>
      </c>
    </row>
    <row r="7" spans="1:8" ht="13.5" thickBot="1">
      <c r="A7" s="22" t="s">
        <v>47</v>
      </c>
      <c r="B7" s="209" t="s">
        <v>48</v>
      </c>
      <c r="C7" s="210" t="s">
        <v>49</v>
      </c>
      <c r="D7" s="23" t="s">
        <v>50</v>
      </c>
      <c r="E7" s="23" t="s">
        <v>51</v>
      </c>
      <c r="F7" s="209" t="s">
        <v>52</v>
      </c>
      <c r="G7" s="23" t="s">
        <v>53</v>
      </c>
      <c r="H7" s="23" t="s">
        <v>54</v>
      </c>
    </row>
    <row r="8" spans="1:9" ht="15.75" thickBot="1">
      <c r="A8" s="24">
        <v>1</v>
      </c>
      <c r="B8" s="211">
        <v>7000</v>
      </c>
      <c r="C8" s="208">
        <v>43845</v>
      </c>
      <c r="D8" s="157">
        <f>IF((C8-$E$4&gt;0),C8-$E$4,0)</f>
        <v>15</v>
      </c>
      <c r="E8" s="25">
        <f>B8</f>
        <v>7000</v>
      </c>
      <c r="F8" s="214">
        <v>1.88</v>
      </c>
      <c r="G8" s="25">
        <f>IF(B8&gt;0,(ROUND(((E8/(1+F8/100)^(D8/30))),2)),0)</f>
        <v>6935.11</v>
      </c>
      <c r="H8" s="25">
        <f aca="true" t="shared" si="0" ref="H8:H17">(E8-G8)</f>
        <v>64.89000000000033</v>
      </c>
      <c r="I8" s="26"/>
    </row>
    <row r="9" spans="1:8" ht="13.5" thickBot="1">
      <c r="A9" s="24">
        <v>2</v>
      </c>
      <c r="B9" s="211">
        <f>5000-5000</f>
        <v>0</v>
      </c>
      <c r="C9" s="208"/>
      <c r="D9" s="157">
        <f aca="true" t="shared" si="1" ref="D9:D17">IF((C9-$E$4&gt;0),C9-$E$4,0)</f>
        <v>0</v>
      </c>
      <c r="E9" s="27">
        <f aca="true" t="shared" si="2" ref="E9:E17">B9</f>
        <v>0</v>
      </c>
      <c r="F9" s="214"/>
      <c r="G9" s="27">
        <f aca="true" t="shared" si="3" ref="G9:G17">IF(B9&gt;0,(ROUND(((E9/(1+F9/100)^(D9/30))),2)),0)</f>
        <v>0</v>
      </c>
      <c r="H9" s="27">
        <f t="shared" si="0"/>
        <v>0</v>
      </c>
    </row>
    <row r="10" spans="1:8" ht="13.5" thickBot="1">
      <c r="A10" s="24">
        <v>3</v>
      </c>
      <c r="B10" s="211">
        <v>0</v>
      </c>
      <c r="C10" s="208"/>
      <c r="D10" s="157">
        <f t="shared" si="1"/>
        <v>0</v>
      </c>
      <c r="E10" s="27">
        <f t="shared" si="2"/>
        <v>0</v>
      </c>
      <c r="F10" s="214"/>
      <c r="G10" s="27">
        <f t="shared" si="3"/>
        <v>0</v>
      </c>
      <c r="H10" s="27">
        <f t="shared" si="0"/>
        <v>0</v>
      </c>
    </row>
    <row r="11" spans="1:8" ht="13.5" thickBot="1">
      <c r="A11" s="24">
        <v>4</v>
      </c>
      <c r="B11" s="211">
        <v>0</v>
      </c>
      <c r="C11" s="208"/>
      <c r="D11" s="157">
        <f t="shared" si="1"/>
        <v>0</v>
      </c>
      <c r="E11" s="27">
        <f t="shared" si="2"/>
        <v>0</v>
      </c>
      <c r="F11" s="214"/>
      <c r="G11" s="27">
        <f t="shared" si="3"/>
        <v>0</v>
      </c>
      <c r="H11" s="27">
        <f t="shared" si="0"/>
        <v>0</v>
      </c>
    </row>
    <row r="12" spans="1:8" ht="13.5" thickBot="1">
      <c r="A12" s="24">
        <v>5</v>
      </c>
      <c r="B12" s="211">
        <v>0</v>
      </c>
      <c r="C12" s="208"/>
      <c r="D12" s="157">
        <f t="shared" si="1"/>
        <v>0</v>
      </c>
      <c r="E12" s="27">
        <f t="shared" si="2"/>
        <v>0</v>
      </c>
      <c r="F12" s="214"/>
      <c r="G12" s="27">
        <f t="shared" si="3"/>
        <v>0</v>
      </c>
      <c r="H12" s="27">
        <f t="shared" si="0"/>
        <v>0</v>
      </c>
    </row>
    <row r="13" spans="1:8" ht="13.5" thickBot="1">
      <c r="A13" s="24">
        <v>6</v>
      </c>
      <c r="B13" s="211">
        <v>0</v>
      </c>
      <c r="C13" s="208"/>
      <c r="D13" s="157">
        <f t="shared" si="1"/>
        <v>0</v>
      </c>
      <c r="E13" s="27">
        <f t="shared" si="2"/>
        <v>0</v>
      </c>
      <c r="F13" s="214"/>
      <c r="G13" s="27">
        <f t="shared" si="3"/>
        <v>0</v>
      </c>
      <c r="H13" s="27">
        <f t="shared" si="0"/>
        <v>0</v>
      </c>
    </row>
    <row r="14" spans="1:8" ht="13.5" thickBot="1">
      <c r="A14" s="24">
        <v>7</v>
      </c>
      <c r="B14" s="211">
        <v>0</v>
      </c>
      <c r="C14" s="212"/>
      <c r="D14" s="157">
        <f t="shared" si="1"/>
        <v>0</v>
      </c>
      <c r="E14" s="27">
        <f t="shared" si="2"/>
        <v>0</v>
      </c>
      <c r="F14" s="214"/>
      <c r="G14" s="27">
        <f t="shared" si="3"/>
        <v>0</v>
      </c>
      <c r="H14" s="27">
        <f t="shared" si="0"/>
        <v>0</v>
      </c>
    </row>
    <row r="15" spans="1:8" ht="13.5" thickBot="1">
      <c r="A15" s="24">
        <v>8</v>
      </c>
      <c r="B15" s="211">
        <v>0</v>
      </c>
      <c r="C15" s="208"/>
      <c r="D15" s="157">
        <f t="shared" si="1"/>
        <v>0</v>
      </c>
      <c r="E15" s="27">
        <f t="shared" si="2"/>
        <v>0</v>
      </c>
      <c r="F15" s="214"/>
      <c r="G15" s="27">
        <f t="shared" si="3"/>
        <v>0</v>
      </c>
      <c r="H15" s="27">
        <f t="shared" si="0"/>
        <v>0</v>
      </c>
    </row>
    <row r="16" spans="1:8" ht="13.5" thickBot="1">
      <c r="A16" s="24">
        <v>9</v>
      </c>
      <c r="B16" s="211">
        <v>0</v>
      </c>
      <c r="C16" s="212"/>
      <c r="D16" s="157">
        <f t="shared" si="1"/>
        <v>0</v>
      </c>
      <c r="E16" s="27">
        <f t="shared" si="2"/>
        <v>0</v>
      </c>
      <c r="F16" s="214"/>
      <c r="G16" s="27">
        <f t="shared" si="3"/>
        <v>0</v>
      </c>
      <c r="H16" s="27">
        <f t="shared" si="0"/>
        <v>0</v>
      </c>
    </row>
    <row r="17" spans="1:8" ht="13.5" thickBot="1">
      <c r="A17" s="24">
        <v>10</v>
      </c>
      <c r="B17" s="211">
        <v>0</v>
      </c>
      <c r="C17" s="208"/>
      <c r="D17" s="157">
        <f t="shared" si="1"/>
        <v>0</v>
      </c>
      <c r="E17" s="27">
        <f t="shared" si="2"/>
        <v>0</v>
      </c>
      <c r="F17" s="214"/>
      <c r="G17" s="27">
        <f t="shared" si="3"/>
        <v>0</v>
      </c>
      <c r="H17" s="27">
        <f t="shared" si="0"/>
        <v>0</v>
      </c>
    </row>
    <row r="18" spans="1:8" ht="16.5" thickBot="1">
      <c r="A18" s="28" t="s">
        <v>55</v>
      </c>
      <c r="B18" s="215">
        <f>SUM(B8:B17)</f>
        <v>7000</v>
      </c>
      <c r="C18" s="29"/>
      <c r="E18" s="215">
        <f>SUM(E8:E17)</f>
        <v>7000</v>
      </c>
      <c r="F18" s="30"/>
      <c r="G18" s="158">
        <f>SUM(G8:G17)</f>
        <v>6935.11</v>
      </c>
      <c r="H18" s="215">
        <f>SUM(H8:H17)</f>
        <v>64.89000000000033</v>
      </c>
    </row>
    <row r="19" spans="1:8" ht="12.75">
      <c r="A19" s="350"/>
      <c r="B19" s="350"/>
      <c r="C19" s="350"/>
      <c r="D19" s="350"/>
      <c r="E19" s="350"/>
      <c r="F19" s="350"/>
      <c r="G19" s="350"/>
      <c r="H19" s="350"/>
    </row>
    <row r="20" spans="3:10" ht="12.75">
      <c r="C20" s="31"/>
      <c r="E20" s="32"/>
      <c r="F20" s="32"/>
      <c r="G20" s="33"/>
      <c r="I20" s="34"/>
      <c r="J20" s="35"/>
    </row>
    <row r="21" spans="1:10" ht="12.75">
      <c r="A21" s="341" t="s">
        <v>148</v>
      </c>
      <c r="B21" s="342"/>
      <c r="C21" s="342"/>
      <c r="D21" s="343"/>
      <c r="E21" s="36">
        <f>+G18</f>
        <v>6935.11</v>
      </c>
      <c r="H21" s="291"/>
      <c r="I21" s="291"/>
      <c r="J21" s="37"/>
    </row>
    <row r="22" spans="1:10" ht="12.75">
      <c r="A22" s="338" t="s">
        <v>198</v>
      </c>
      <c r="B22" s="339"/>
      <c r="C22" s="339"/>
      <c r="D22" s="340"/>
      <c r="E22" s="36">
        <f>7000-1400</f>
        <v>5600</v>
      </c>
      <c r="H22" s="291"/>
      <c r="I22" s="291"/>
      <c r="J22" s="37"/>
    </row>
    <row r="23" spans="1:10" ht="16.5" thickBot="1">
      <c r="A23" s="38" t="s">
        <v>56</v>
      </c>
      <c r="B23" s="39"/>
      <c r="C23" s="39"/>
      <c r="D23" s="40"/>
      <c r="E23" s="41">
        <f>+E21-E22</f>
        <v>1335.1099999999997</v>
      </c>
      <c r="H23" s="291"/>
      <c r="I23" s="291"/>
      <c r="J23" s="42"/>
    </row>
    <row r="24" spans="1:5" ht="12.75">
      <c r="A24" s="43"/>
      <c r="B24" s="44"/>
      <c r="C24" s="44"/>
      <c r="D24" s="44"/>
      <c r="E24" s="45"/>
    </row>
    <row r="25" spans="1:5" ht="13.5" thickBot="1">
      <c r="A25" s="46"/>
      <c r="B25" s="47"/>
      <c r="C25" s="47"/>
      <c r="D25" s="47"/>
      <c r="E25" s="48"/>
    </row>
    <row r="26" spans="1:5" ht="12.75">
      <c r="A26" s="351" t="str">
        <f>IF(E23&lt;=0,"RFT","INT-S/ACTIVOS A DEVENGAR")</f>
        <v>INT-S/ACTIVOS A DEVENGAR</v>
      </c>
      <c r="B26" s="352"/>
      <c r="C26" s="353"/>
      <c r="D26" s="52">
        <f>ABS(E23)</f>
        <v>1335.1099999999997</v>
      </c>
      <c r="E26" s="53"/>
    </row>
    <row r="27" spans="1:5" ht="14.25" customHeight="1">
      <c r="A27" s="335" t="str">
        <f>IF(E23&gt;0,"RFT","INT-S/ACTIVOS A DEVENGAR")</f>
        <v>RFT</v>
      </c>
      <c r="B27" s="336"/>
      <c r="C27" s="337"/>
      <c r="D27" s="54"/>
      <c r="E27" s="55">
        <f>ABS(E23)</f>
        <v>1335.1099999999997</v>
      </c>
    </row>
  </sheetData>
  <sheetProtection/>
  <mergeCells count="9">
    <mergeCell ref="A27:C27"/>
    <mergeCell ref="A22:D22"/>
    <mergeCell ref="A21:D21"/>
    <mergeCell ref="A3:H3"/>
    <mergeCell ref="A1:H1"/>
    <mergeCell ref="A2:H2"/>
    <mergeCell ref="B4:D4"/>
    <mergeCell ref="A19:H19"/>
    <mergeCell ref="A26:C26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6"/>
  <sheetViews>
    <sheetView zoomScalePageLayoutView="0" workbookViewId="0" topLeftCell="A4">
      <selection activeCell="E26" sqref="E26"/>
    </sheetView>
  </sheetViews>
  <sheetFormatPr defaultColWidth="13.28125" defaultRowHeight="15"/>
  <cols>
    <col min="1" max="1" width="5.28125" style="18" customWidth="1"/>
    <col min="2" max="2" width="22.140625" style="18" customWidth="1"/>
    <col min="3" max="3" width="16.8515625" style="18" customWidth="1"/>
    <col min="4" max="4" width="13.28125" style="18" customWidth="1"/>
    <col min="5" max="5" width="15.57421875" style="18" customWidth="1"/>
    <col min="6" max="6" width="11.7109375" style="18" customWidth="1"/>
    <col min="7" max="7" width="17.28125" style="18" customWidth="1"/>
    <col min="8" max="8" width="22.140625" style="18" customWidth="1"/>
    <col min="9" max="16384" width="13.28125" style="18" customWidth="1"/>
  </cols>
  <sheetData>
    <row r="1" spans="1:8" s="15" customFormat="1" ht="15.75">
      <c r="A1" s="346" t="s">
        <v>37</v>
      </c>
      <c r="B1" s="346"/>
      <c r="C1" s="346"/>
      <c r="D1" s="346"/>
      <c r="E1" s="346"/>
      <c r="F1" s="346"/>
      <c r="G1" s="346"/>
      <c r="H1" s="346"/>
    </row>
    <row r="2" spans="1:8" s="15" customFormat="1" ht="15.75">
      <c r="A2" s="358" t="s">
        <v>105</v>
      </c>
      <c r="B2" s="358"/>
      <c r="C2" s="358"/>
      <c r="D2" s="358"/>
      <c r="E2" s="358"/>
      <c r="F2" s="220"/>
      <c r="G2" s="220"/>
      <c r="H2" s="220"/>
    </row>
    <row r="3" spans="1:8" s="15" customFormat="1" ht="19.5">
      <c r="A3" s="359" t="s">
        <v>159</v>
      </c>
      <c r="B3" s="360"/>
      <c r="C3" s="360"/>
      <c r="D3" s="360"/>
      <c r="E3" s="361"/>
      <c r="F3" s="16"/>
      <c r="G3" s="16"/>
      <c r="H3" s="16"/>
    </row>
    <row r="4" spans="1:8" s="15" customFormat="1" ht="13.5" thickBot="1">
      <c r="A4" s="16"/>
      <c r="B4" s="16"/>
      <c r="D4" s="128"/>
      <c r="E4" s="217">
        <v>43830</v>
      </c>
      <c r="F4" s="16"/>
      <c r="G4" s="16"/>
      <c r="H4" s="16"/>
    </row>
    <row r="5" spans="1:8" ht="13.5" thickBot="1">
      <c r="A5" s="17"/>
      <c r="B5" s="17"/>
      <c r="C5" s="17"/>
      <c r="D5" s="17"/>
      <c r="E5" s="17"/>
      <c r="F5" s="17"/>
      <c r="G5" s="17"/>
      <c r="H5" s="17"/>
    </row>
    <row r="6" spans="1:8" ht="13.5" thickBot="1">
      <c r="A6" s="19" t="s">
        <v>40</v>
      </c>
      <c r="B6" s="213" t="s">
        <v>41</v>
      </c>
      <c r="C6" s="216" t="s">
        <v>42</v>
      </c>
      <c r="D6" s="21" t="s">
        <v>43</v>
      </c>
      <c r="E6" s="21" t="s">
        <v>44</v>
      </c>
      <c r="F6" s="213" t="s">
        <v>45</v>
      </c>
      <c r="G6" s="21" t="s">
        <v>41</v>
      </c>
      <c r="H6" s="21" t="s">
        <v>46</v>
      </c>
    </row>
    <row r="7" spans="1:8" ht="13.5" thickBot="1">
      <c r="A7" s="22" t="s">
        <v>47</v>
      </c>
      <c r="B7" s="209" t="s">
        <v>48</v>
      </c>
      <c r="C7" s="210" t="s">
        <v>49</v>
      </c>
      <c r="D7" s="23" t="s">
        <v>50</v>
      </c>
      <c r="E7" s="23" t="s">
        <v>51</v>
      </c>
      <c r="F7" s="209" t="s">
        <v>52</v>
      </c>
      <c r="G7" s="23" t="s">
        <v>53</v>
      </c>
      <c r="H7" s="23" t="s">
        <v>54</v>
      </c>
    </row>
    <row r="8" spans="1:10" ht="15.75" thickBot="1">
      <c r="A8" s="24">
        <v>1</v>
      </c>
      <c r="B8" s="211">
        <v>8000</v>
      </c>
      <c r="C8" s="208">
        <v>43852</v>
      </c>
      <c r="D8" s="24">
        <f>IF((C8-$E$4&gt;0),C8-$E$4,0)</f>
        <v>22</v>
      </c>
      <c r="E8" s="27">
        <f>B8</f>
        <v>8000</v>
      </c>
      <c r="F8" s="219">
        <v>2</v>
      </c>
      <c r="G8" s="27">
        <f>IF(B8&gt;0,(ROUND(((E8/(1+F8/100)^(D8/30))),2)),0)</f>
        <v>7884.66</v>
      </c>
      <c r="H8" s="27">
        <f>(E8-G8)</f>
        <v>115.34000000000015</v>
      </c>
      <c r="I8" s="26"/>
      <c r="J8" s="129"/>
    </row>
    <row r="9" spans="1:9" ht="15.75" thickBot="1">
      <c r="A9" s="24">
        <v>2</v>
      </c>
      <c r="B9" s="211"/>
      <c r="C9" s="208"/>
      <c r="D9" s="24">
        <f>IF((C9-$E$4&gt;0),C9-$E$4,0)</f>
        <v>0</v>
      </c>
      <c r="E9" s="27">
        <f aca="true" t="shared" si="0" ref="E9:E17">B9</f>
        <v>0</v>
      </c>
      <c r="F9" s="214"/>
      <c r="G9" s="27">
        <f>IF(B9&gt;0,(ROUND(((E9/(1+F9/100)^(D9/30))),2)),0)</f>
        <v>0</v>
      </c>
      <c r="H9" s="27">
        <f>(E9-G9)</f>
        <v>0</v>
      </c>
      <c r="I9" s="26"/>
    </row>
    <row r="10" spans="1:9" ht="15.75" thickBot="1">
      <c r="A10" s="24">
        <v>3</v>
      </c>
      <c r="B10" s="211"/>
      <c r="C10" s="208"/>
      <c r="D10" s="24">
        <f>IF((C10-$E$4&gt;0),C10-$E$4,0)</f>
        <v>0</v>
      </c>
      <c r="E10" s="27">
        <f t="shared" si="0"/>
        <v>0</v>
      </c>
      <c r="F10" s="218"/>
      <c r="G10" s="27">
        <f>IF(B10&gt;0,(ROUND(((E10/(1+F10/100)^(D10/30))),2)),0)</f>
        <v>0</v>
      </c>
      <c r="H10" s="27">
        <f>(E10-G10)</f>
        <v>0</v>
      </c>
      <c r="I10" s="26"/>
    </row>
    <row r="11" spans="1:8" ht="13.5" thickBot="1">
      <c r="A11" s="24">
        <v>4</v>
      </c>
      <c r="B11" s="211"/>
      <c r="C11" s="208"/>
      <c r="D11" s="24">
        <f aca="true" t="shared" si="1" ref="D11:D17">IF((C11-$E$4&gt;0),C11-$E$4,0)</f>
        <v>0</v>
      </c>
      <c r="E11" s="27">
        <f t="shared" si="0"/>
        <v>0</v>
      </c>
      <c r="F11" s="214"/>
      <c r="G11" s="27">
        <f aca="true" t="shared" si="2" ref="G11:G17">IF(B11&gt;0,(ROUND(((E11/(1+F11/100)^(D11/30))),2)),0)</f>
        <v>0</v>
      </c>
      <c r="H11" s="27">
        <f aca="true" t="shared" si="3" ref="H11:H17">(E11-G11)</f>
        <v>0</v>
      </c>
    </row>
    <row r="12" spans="1:8" ht="13.5" thickBot="1">
      <c r="A12" s="24">
        <v>5</v>
      </c>
      <c r="B12" s="211"/>
      <c r="C12" s="208"/>
      <c r="D12" s="24">
        <f t="shared" si="1"/>
        <v>0</v>
      </c>
      <c r="E12" s="27">
        <f t="shared" si="0"/>
        <v>0</v>
      </c>
      <c r="F12" s="214"/>
      <c r="G12" s="27">
        <f t="shared" si="2"/>
        <v>0</v>
      </c>
      <c r="H12" s="27">
        <f t="shared" si="3"/>
        <v>0</v>
      </c>
    </row>
    <row r="13" spans="1:8" ht="13.5" thickBot="1">
      <c r="A13" s="24">
        <v>6</v>
      </c>
      <c r="B13" s="211"/>
      <c r="C13" s="208"/>
      <c r="D13" s="24">
        <f t="shared" si="1"/>
        <v>0</v>
      </c>
      <c r="E13" s="27">
        <f t="shared" si="0"/>
        <v>0</v>
      </c>
      <c r="F13" s="214"/>
      <c r="G13" s="27">
        <f t="shared" si="2"/>
        <v>0</v>
      </c>
      <c r="H13" s="27">
        <f t="shared" si="3"/>
        <v>0</v>
      </c>
    </row>
    <row r="14" spans="1:8" ht="13.5" thickBot="1">
      <c r="A14" s="24">
        <v>7</v>
      </c>
      <c r="B14" s="211"/>
      <c r="C14" s="212"/>
      <c r="D14" s="24">
        <f t="shared" si="1"/>
        <v>0</v>
      </c>
      <c r="E14" s="27">
        <f t="shared" si="0"/>
        <v>0</v>
      </c>
      <c r="F14" s="214"/>
      <c r="G14" s="27">
        <f t="shared" si="2"/>
        <v>0</v>
      </c>
      <c r="H14" s="27">
        <f t="shared" si="3"/>
        <v>0</v>
      </c>
    </row>
    <row r="15" spans="1:8" ht="13.5" thickBot="1">
      <c r="A15" s="24">
        <v>8</v>
      </c>
      <c r="B15" s="211"/>
      <c r="C15" s="208"/>
      <c r="D15" s="24">
        <f t="shared" si="1"/>
        <v>0</v>
      </c>
      <c r="E15" s="27">
        <f t="shared" si="0"/>
        <v>0</v>
      </c>
      <c r="F15" s="214"/>
      <c r="G15" s="27">
        <f t="shared" si="2"/>
        <v>0</v>
      </c>
      <c r="H15" s="27">
        <f t="shared" si="3"/>
        <v>0</v>
      </c>
    </row>
    <row r="16" spans="1:8" ht="13.5" thickBot="1">
      <c r="A16" s="24">
        <v>9</v>
      </c>
      <c r="B16" s="211"/>
      <c r="C16" s="212"/>
      <c r="D16" s="24">
        <f t="shared" si="1"/>
        <v>0</v>
      </c>
      <c r="E16" s="27">
        <f t="shared" si="0"/>
        <v>0</v>
      </c>
      <c r="F16" s="214"/>
      <c r="G16" s="27">
        <f t="shared" si="2"/>
        <v>0</v>
      </c>
      <c r="H16" s="27">
        <f t="shared" si="3"/>
        <v>0</v>
      </c>
    </row>
    <row r="17" spans="1:8" ht="13.5" thickBot="1">
      <c r="A17" s="24">
        <v>10</v>
      </c>
      <c r="B17" s="211"/>
      <c r="C17" s="208"/>
      <c r="D17" s="24">
        <f t="shared" si="1"/>
        <v>0</v>
      </c>
      <c r="E17" s="27">
        <f t="shared" si="0"/>
        <v>0</v>
      </c>
      <c r="F17" s="214"/>
      <c r="G17" s="27">
        <f t="shared" si="2"/>
        <v>0</v>
      </c>
      <c r="H17" s="27">
        <f t="shared" si="3"/>
        <v>0</v>
      </c>
    </row>
    <row r="18" spans="1:8" ht="13.5" thickBot="1">
      <c r="A18" s="28" t="s">
        <v>55</v>
      </c>
      <c r="B18" s="215">
        <f>SUM(B8:B17)</f>
        <v>8000</v>
      </c>
      <c r="C18" s="29"/>
      <c r="E18" s="215">
        <f>SUM(E8:E17)</f>
        <v>8000</v>
      </c>
      <c r="F18" s="30"/>
      <c r="G18" s="215">
        <f>SUM(G8:G17)</f>
        <v>7884.66</v>
      </c>
      <c r="H18" s="215">
        <f>SUM(H8:H17)</f>
        <v>115.34000000000015</v>
      </c>
    </row>
    <row r="19" spans="2:8" ht="12.75">
      <c r="B19" s="130"/>
      <c r="C19" s="17"/>
      <c r="E19" s="32"/>
      <c r="F19" s="130"/>
      <c r="G19" s="32"/>
      <c r="H19" s="32"/>
    </row>
    <row r="20" spans="3:10" ht="13.5" thickBot="1">
      <c r="C20" s="31"/>
      <c r="E20" s="32"/>
      <c r="F20" s="32"/>
      <c r="G20" s="33"/>
      <c r="I20" s="131"/>
      <c r="J20" s="131"/>
    </row>
    <row r="21" spans="1:10" ht="12.75">
      <c r="A21" s="362" t="s">
        <v>176</v>
      </c>
      <c r="B21" s="363"/>
      <c r="C21" s="363"/>
      <c r="D21" s="364"/>
      <c r="E21" s="132">
        <f>+G18</f>
        <v>7884.66</v>
      </c>
      <c r="H21" s="291"/>
      <c r="I21" s="291"/>
      <c r="J21" s="42"/>
    </row>
    <row r="22" spans="1:5" ht="12.75">
      <c r="A22" s="365" t="s">
        <v>199</v>
      </c>
      <c r="B22" s="339"/>
      <c r="C22" s="339"/>
      <c r="D22" s="340"/>
      <c r="E22" s="133">
        <f>8000-0</f>
        <v>8000</v>
      </c>
    </row>
    <row r="23" spans="1:5" ht="16.5" thickBot="1">
      <c r="A23" s="134" t="s">
        <v>56</v>
      </c>
      <c r="B23" s="135"/>
      <c r="C23" s="135"/>
      <c r="D23" s="136"/>
      <c r="E23" s="137">
        <f>+E21-E22</f>
        <v>-115.34000000000015</v>
      </c>
    </row>
    <row r="24" spans="1:5" ht="13.5" thickBot="1">
      <c r="A24" s="49"/>
      <c r="B24" s="50"/>
      <c r="C24" s="51"/>
      <c r="D24" s="53"/>
      <c r="E24" s="53"/>
    </row>
    <row r="25" spans="1:5" ht="14.25" customHeight="1">
      <c r="A25" s="354" t="str">
        <f>IF(E23&gt;=0,"RFT","INT-S/PASIVOS A DEVENGAR")</f>
        <v>INT-S/PASIVOS A DEVENGAR</v>
      </c>
      <c r="B25" s="355"/>
      <c r="C25" s="355"/>
      <c r="D25" s="138">
        <f>ABS(E23)</f>
        <v>115.34000000000015</v>
      </c>
      <c r="E25" s="139"/>
    </row>
    <row r="26" spans="1:5" ht="15" customHeight="1" thickBot="1">
      <c r="A26" s="356" t="str">
        <f>IF(E23&lt;0,"RFT","INT-S/PASIVOS A DEVENGAR")</f>
        <v>RFT</v>
      </c>
      <c r="B26" s="357"/>
      <c r="C26" s="357"/>
      <c r="D26" s="140"/>
      <c r="E26" s="141">
        <f>ABS(E23)</f>
        <v>115.34000000000015</v>
      </c>
    </row>
    <row r="27" ht="12.75" customHeight="1"/>
  </sheetData>
  <sheetProtection/>
  <mergeCells count="7">
    <mergeCell ref="A25:C25"/>
    <mergeCell ref="A26:C26"/>
    <mergeCell ref="A1:H1"/>
    <mergeCell ref="A2:E2"/>
    <mergeCell ref="A3:E3"/>
    <mergeCell ref="A21:D21"/>
    <mergeCell ref="A22:D22"/>
  </mergeCells>
  <printOptions/>
  <pageMargins left="0.25" right="0.21" top="0.7480314960629921" bottom="0.7480314960629921" header="0.31496062992125984" footer="0.31496062992125984"/>
  <pageSetup cellComments="asDisplayed"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3"/>
  <sheetViews>
    <sheetView tabSelected="1" zoomScale="90" zoomScaleNormal="90" zoomScalePageLayoutView="0" workbookViewId="0" topLeftCell="A14">
      <selection activeCell="A28" sqref="A28:F28"/>
    </sheetView>
  </sheetViews>
  <sheetFormatPr defaultColWidth="17.00390625" defaultRowHeight="15"/>
  <cols>
    <col min="1" max="1" width="14.00390625" style="78" customWidth="1"/>
    <col min="2" max="2" width="10.57421875" style="78" customWidth="1"/>
    <col min="3" max="3" width="17.57421875" style="78" customWidth="1"/>
    <col min="4" max="4" width="10.8515625" style="57" customWidth="1"/>
    <col min="5" max="5" width="16.00390625" style="57" customWidth="1"/>
    <col min="6" max="7" width="17.00390625" style="57" customWidth="1"/>
    <col min="8" max="8" width="21.57421875" style="57" customWidth="1"/>
    <col min="9" max="9" width="28.00390625" style="57" customWidth="1"/>
    <col min="10" max="10" width="17.00390625" style="57" customWidth="1"/>
    <col min="11" max="11" width="20.8515625" style="57" customWidth="1"/>
    <col min="12" max="12" width="17.7109375" style="57" bestFit="1" customWidth="1"/>
    <col min="13" max="16384" width="17.00390625" style="57" customWidth="1"/>
  </cols>
  <sheetData>
    <row r="1" spans="1:3" ht="18">
      <c r="A1" s="56" t="s">
        <v>178</v>
      </c>
      <c r="B1" s="56"/>
      <c r="C1" s="56"/>
    </row>
    <row r="2" spans="1:3" ht="18">
      <c r="A2" s="56" t="s">
        <v>57</v>
      </c>
      <c r="B2" s="56"/>
      <c r="C2" s="56"/>
    </row>
    <row r="3" spans="1:3" ht="18">
      <c r="A3" s="56"/>
      <c r="B3" s="56"/>
      <c r="C3" s="56"/>
    </row>
    <row r="4" spans="1:3" ht="18">
      <c r="A4" s="56"/>
      <c r="B4" s="56"/>
      <c r="C4" s="56"/>
    </row>
    <row r="5" spans="1:3" ht="18.75" thickBot="1">
      <c r="A5" s="56"/>
      <c r="B5" s="56"/>
      <c r="C5" s="56"/>
    </row>
    <row r="6" spans="1:17" s="58" customFormat="1" ht="18.75" thickBot="1">
      <c r="A6" s="221"/>
      <c r="B6" s="378" t="s">
        <v>33</v>
      </c>
      <c r="C6" s="379"/>
      <c r="D6" s="380"/>
      <c r="E6" s="387" t="s">
        <v>58</v>
      </c>
      <c r="F6" s="389"/>
      <c r="G6" s="389"/>
      <c r="H6" s="388"/>
      <c r="I6" s="367" t="s">
        <v>59</v>
      </c>
      <c r="J6" s="368"/>
      <c r="L6" s="316">
        <v>43435</v>
      </c>
      <c r="M6" s="317">
        <v>184.2552</v>
      </c>
      <c r="N6" s="320">
        <f>283.4442/184.2552</f>
        <v>1.5383240201633388</v>
      </c>
      <c r="O6" s="321">
        <f>+$M$18/M6</f>
        <v>1.5383240201633388</v>
      </c>
      <c r="P6" s="58">
        <f>+N6-O6</f>
        <v>0</v>
      </c>
      <c r="Q6" s="58" t="s">
        <v>210</v>
      </c>
    </row>
    <row r="7" spans="1:17" s="58" customFormat="1" ht="18.75" thickBot="1">
      <c r="A7" s="222"/>
      <c r="B7" s="381"/>
      <c r="C7" s="382"/>
      <c r="D7" s="383"/>
      <c r="E7" s="387" t="s">
        <v>48</v>
      </c>
      <c r="F7" s="388"/>
      <c r="G7" s="390" t="s">
        <v>61</v>
      </c>
      <c r="H7" s="391"/>
      <c r="I7" s="161"/>
      <c r="J7" s="162"/>
      <c r="L7" s="316">
        <v>43466</v>
      </c>
      <c r="M7" s="317">
        <v>189.6101</v>
      </c>
      <c r="N7" s="320">
        <f>283.4442/189.6101</f>
        <v>1.4948792284799177</v>
      </c>
      <c r="O7" s="321">
        <f aca="true" t="shared" si="0" ref="O7:O18">+$M$18/M7</f>
        <v>1.4948792284799177</v>
      </c>
      <c r="P7" s="58">
        <f aca="true" t="shared" si="1" ref="P7:P18">+N7-O7</f>
        <v>0</v>
      </c>
      <c r="Q7" s="58" t="s">
        <v>211</v>
      </c>
    </row>
    <row r="8" spans="1:17" s="58" customFormat="1" ht="18.75" thickBot="1">
      <c r="A8" s="223" t="s">
        <v>60</v>
      </c>
      <c r="B8" s="384"/>
      <c r="C8" s="385"/>
      <c r="D8" s="386"/>
      <c r="E8" s="234" t="s">
        <v>149</v>
      </c>
      <c r="F8" s="234" t="s">
        <v>150</v>
      </c>
      <c r="G8" s="171" t="s">
        <v>149</v>
      </c>
      <c r="H8" s="171" t="s">
        <v>150</v>
      </c>
      <c r="I8" s="171" t="s">
        <v>153</v>
      </c>
      <c r="J8" s="59" t="s">
        <v>61</v>
      </c>
      <c r="L8" s="316">
        <v>43497</v>
      </c>
      <c r="M8" s="317">
        <v>196.7501</v>
      </c>
      <c r="N8" s="320">
        <f>283.4442/196.7501</f>
        <v>1.4406305257278142</v>
      </c>
      <c r="O8" s="321">
        <f t="shared" si="0"/>
        <v>1.4406305257278142</v>
      </c>
      <c r="P8" s="58">
        <f t="shared" si="1"/>
        <v>0</v>
      </c>
      <c r="Q8" s="58" t="s">
        <v>212</v>
      </c>
    </row>
    <row r="9" spans="1:17" s="58" customFormat="1" ht="18">
      <c r="A9" s="241" t="s">
        <v>70</v>
      </c>
      <c r="B9" s="242" t="s">
        <v>200</v>
      </c>
      <c r="C9" s="243" t="s">
        <v>210</v>
      </c>
      <c r="D9" s="306">
        <f>ROUND((283.4442/184.2552),4)</f>
        <v>1.5383</v>
      </c>
      <c r="E9" s="235">
        <v>90000</v>
      </c>
      <c r="F9" s="236">
        <v>0</v>
      </c>
      <c r="G9" s="299">
        <f>ROUND(($D9*E9),2)</f>
        <v>138447</v>
      </c>
      <c r="H9" s="245">
        <f>ROUND(($D9*F9),2)</f>
        <v>0</v>
      </c>
      <c r="I9" s="235">
        <v>0</v>
      </c>
      <c r="J9" s="246">
        <f aca="true" t="shared" si="2" ref="J9:J21">ROUND(($D9*I9),2)</f>
        <v>0</v>
      </c>
      <c r="L9" s="316">
        <v>43525</v>
      </c>
      <c r="M9" s="317">
        <v>205.9571</v>
      </c>
      <c r="N9" s="320">
        <f>283.4442/205.9571</f>
        <v>1.3762293215431758</v>
      </c>
      <c r="O9" s="321">
        <f t="shared" si="0"/>
        <v>1.3762293215431758</v>
      </c>
      <c r="P9" s="58">
        <f t="shared" si="1"/>
        <v>0</v>
      </c>
      <c r="Q9" s="58" t="s">
        <v>213</v>
      </c>
    </row>
    <row r="10" spans="1:17" ht="18">
      <c r="A10" s="224">
        <v>1</v>
      </c>
      <c r="B10" s="227" t="s">
        <v>201</v>
      </c>
      <c r="C10" s="225" t="s">
        <v>211</v>
      </c>
      <c r="D10" s="226">
        <f>283.4442/189.6101</f>
        <v>1.4948792284799177</v>
      </c>
      <c r="E10" s="237">
        <v>0</v>
      </c>
      <c r="F10" s="238">
        <v>14000</v>
      </c>
      <c r="G10" s="244">
        <f aca="true" t="shared" si="3" ref="G10:G21">ROUND(($D10*E10),2)</f>
        <v>0</v>
      </c>
      <c r="H10" s="245">
        <f aca="true" t="shared" si="4" ref="H10:H21">ROUND(($D10*F10),2)</f>
        <v>20928.31</v>
      </c>
      <c r="I10" s="237">
        <v>14000</v>
      </c>
      <c r="J10" s="246">
        <f t="shared" si="2"/>
        <v>20928.31</v>
      </c>
      <c r="L10" s="318">
        <v>43556</v>
      </c>
      <c r="M10" s="319">
        <v>213.0517</v>
      </c>
      <c r="N10" s="320">
        <f>283.4442/213.0517</f>
        <v>1.3304010247278009</v>
      </c>
      <c r="O10" s="321">
        <f t="shared" si="0"/>
        <v>1.3304010247278009</v>
      </c>
      <c r="P10" s="58">
        <f t="shared" si="1"/>
        <v>0</v>
      </c>
      <c r="Q10" s="57" t="s">
        <v>214</v>
      </c>
    </row>
    <row r="11" spans="1:17" ht="18">
      <c r="A11" s="224">
        <v>2</v>
      </c>
      <c r="B11" s="227" t="s">
        <v>202</v>
      </c>
      <c r="C11" s="225" t="s">
        <v>212</v>
      </c>
      <c r="D11" s="226">
        <f>283.4442/196.7501</f>
        <v>1.4406305257278142</v>
      </c>
      <c r="E11" s="237">
        <v>0</v>
      </c>
      <c r="F11" s="238">
        <v>0</v>
      </c>
      <c r="G11" s="244">
        <f t="shared" si="3"/>
        <v>0</v>
      </c>
      <c r="H11" s="245">
        <f t="shared" si="4"/>
        <v>0</v>
      </c>
      <c r="I11" s="237">
        <v>0</v>
      </c>
      <c r="J11" s="246">
        <f t="shared" si="2"/>
        <v>0</v>
      </c>
      <c r="L11" s="318">
        <v>43586</v>
      </c>
      <c r="M11" s="319">
        <v>219.5691</v>
      </c>
      <c r="N11" s="320">
        <f>283.4442/219.5691</f>
        <v>1.2909111527988228</v>
      </c>
      <c r="O11" s="321">
        <f t="shared" si="0"/>
        <v>1.2909111527988228</v>
      </c>
      <c r="P11" s="58">
        <f t="shared" si="1"/>
        <v>0</v>
      </c>
      <c r="Q11" s="57" t="s">
        <v>215</v>
      </c>
    </row>
    <row r="12" spans="1:17" ht="18">
      <c r="A12" s="224">
        <v>3</v>
      </c>
      <c r="B12" s="227" t="s">
        <v>203</v>
      </c>
      <c r="C12" s="225" t="s">
        <v>213</v>
      </c>
      <c r="D12" s="226">
        <f>283.4442/205.9571</f>
        <v>1.3762293215431758</v>
      </c>
      <c r="E12" s="237">
        <v>4200</v>
      </c>
      <c r="F12" s="238">
        <v>0</v>
      </c>
      <c r="G12" s="244">
        <f t="shared" si="3"/>
        <v>5780.16</v>
      </c>
      <c r="H12" s="245">
        <f t="shared" si="4"/>
        <v>0</v>
      </c>
      <c r="I12" s="237">
        <v>0</v>
      </c>
      <c r="J12" s="246">
        <f t="shared" si="2"/>
        <v>0</v>
      </c>
      <c r="L12" s="318">
        <v>43617</v>
      </c>
      <c r="M12" s="319">
        <v>225.537</v>
      </c>
      <c r="N12" s="320">
        <f>283.4442/225.537</f>
        <v>1.2567525505792843</v>
      </c>
      <c r="O12" s="321">
        <f t="shared" si="0"/>
        <v>1.2567525505792843</v>
      </c>
      <c r="P12" s="58">
        <f t="shared" si="1"/>
        <v>0</v>
      </c>
      <c r="Q12" s="57" t="s">
        <v>216</v>
      </c>
    </row>
    <row r="13" spans="1:17" ht="18">
      <c r="A13" s="224">
        <v>4</v>
      </c>
      <c r="B13" s="227" t="s">
        <v>204</v>
      </c>
      <c r="C13" s="225" t="s">
        <v>214</v>
      </c>
      <c r="D13" s="226">
        <f>283.4442/213.0517</f>
        <v>1.3304010247278009</v>
      </c>
      <c r="E13" s="237">
        <v>8000</v>
      </c>
      <c r="F13" s="238">
        <v>0</v>
      </c>
      <c r="G13" s="244">
        <f t="shared" si="3"/>
        <v>10643.21</v>
      </c>
      <c r="H13" s="245">
        <f t="shared" si="4"/>
        <v>0</v>
      </c>
      <c r="I13" s="237">
        <v>0</v>
      </c>
      <c r="J13" s="246">
        <f t="shared" si="2"/>
        <v>0</v>
      </c>
      <c r="L13" s="318">
        <v>43677</v>
      </c>
      <c r="M13" s="319">
        <v>230.494</v>
      </c>
      <c r="N13" s="320">
        <f>283.4442/230.494</f>
        <v>1.2297248518399613</v>
      </c>
      <c r="O13" s="321">
        <f t="shared" si="0"/>
        <v>1.2297248518399613</v>
      </c>
      <c r="P13" s="58">
        <f t="shared" si="1"/>
        <v>0</v>
      </c>
      <c r="Q13" s="57" t="s">
        <v>217</v>
      </c>
    </row>
    <row r="14" spans="1:17" ht="18">
      <c r="A14" s="224">
        <v>5</v>
      </c>
      <c r="B14" s="227" t="s">
        <v>203</v>
      </c>
      <c r="C14" s="225" t="s">
        <v>215</v>
      </c>
      <c r="D14" s="226">
        <f>283.4442/219.5691</f>
        <v>1.2909111527988228</v>
      </c>
      <c r="E14" s="237">
        <v>0</v>
      </c>
      <c r="F14" s="238">
        <v>0</v>
      </c>
      <c r="G14" s="244">
        <f t="shared" si="3"/>
        <v>0</v>
      </c>
      <c r="H14" s="245">
        <f t="shared" si="4"/>
        <v>0</v>
      </c>
      <c r="I14" s="237">
        <v>0</v>
      </c>
      <c r="J14" s="246">
        <f t="shared" si="2"/>
        <v>0</v>
      </c>
      <c r="L14" s="318">
        <v>43708</v>
      </c>
      <c r="M14" s="319">
        <v>239.6077</v>
      </c>
      <c r="N14" s="320">
        <f>283.4442/239.6077</f>
        <v>1.18295113220485</v>
      </c>
      <c r="O14" s="321">
        <f t="shared" si="0"/>
        <v>1.18295113220485</v>
      </c>
      <c r="P14" s="58">
        <f t="shared" si="1"/>
        <v>0</v>
      </c>
      <c r="Q14" s="57" t="s">
        <v>218</v>
      </c>
    </row>
    <row r="15" spans="1:17" ht="18">
      <c r="A15" s="224">
        <v>6</v>
      </c>
      <c r="B15" s="227" t="s">
        <v>205</v>
      </c>
      <c r="C15" s="225" t="s">
        <v>216</v>
      </c>
      <c r="D15" s="226">
        <f>283.4442/225.537</f>
        <v>1.2567525505792843</v>
      </c>
      <c r="E15" s="237">
        <v>0</v>
      </c>
      <c r="F15" s="238">
        <v>0</v>
      </c>
      <c r="G15" s="244">
        <f t="shared" si="3"/>
        <v>0</v>
      </c>
      <c r="H15" s="245">
        <f t="shared" si="4"/>
        <v>0</v>
      </c>
      <c r="I15" s="237">
        <v>0</v>
      </c>
      <c r="J15" s="246">
        <f t="shared" si="2"/>
        <v>0</v>
      </c>
      <c r="L15" s="318">
        <v>43709</v>
      </c>
      <c r="M15" s="319">
        <v>253.7102</v>
      </c>
      <c r="N15" s="320">
        <f>283.4442/253.7102</f>
        <v>1.1171967071091349</v>
      </c>
      <c r="O15" s="321">
        <f t="shared" si="0"/>
        <v>1.1171967071091349</v>
      </c>
      <c r="P15" s="58">
        <f t="shared" si="1"/>
        <v>0</v>
      </c>
      <c r="Q15" s="57" t="s">
        <v>219</v>
      </c>
    </row>
    <row r="16" spans="1:17" ht="18">
      <c r="A16" s="224">
        <v>7</v>
      </c>
      <c r="B16" s="227" t="s">
        <v>205</v>
      </c>
      <c r="C16" s="225" t="s">
        <v>217</v>
      </c>
      <c r="D16" s="226">
        <f>283.4442/230.494</f>
        <v>1.2297248518399613</v>
      </c>
      <c r="E16" s="237">
        <v>0</v>
      </c>
      <c r="F16" s="238">
        <v>0</v>
      </c>
      <c r="G16" s="244">
        <f t="shared" si="3"/>
        <v>0</v>
      </c>
      <c r="H16" s="245">
        <f t="shared" si="4"/>
        <v>0</v>
      </c>
      <c r="I16" s="237">
        <v>0</v>
      </c>
      <c r="J16" s="246">
        <f t="shared" si="2"/>
        <v>0</v>
      </c>
      <c r="L16" s="318">
        <v>43739</v>
      </c>
      <c r="M16" s="319">
        <v>262.0661</v>
      </c>
      <c r="N16" s="320">
        <f>283.4442/262.0661</f>
        <v>1.0815752209080076</v>
      </c>
      <c r="O16" s="321">
        <f t="shared" si="0"/>
        <v>1.0815752209080076</v>
      </c>
      <c r="P16" s="58">
        <f t="shared" si="1"/>
        <v>0</v>
      </c>
      <c r="Q16" s="57" t="s">
        <v>220</v>
      </c>
    </row>
    <row r="17" spans="1:17" ht="18">
      <c r="A17" s="224">
        <v>8</v>
      </c>
      <c r="B17" s="227" t="s">
        <v>204</v>
      </c>
      <c r="C17" s="225" t="s">
        <v>218</v>
      </c>
      <c r="D17" s="226">
        <f>283.4442/239.6077</f>
        <v>1.18295113220485</v>
      </c>
      <c r="E17" s="237">
        <v>0</v>
      </c>
      <c r="F17" s="238">
        <v>0</v>
      </c>
      <c r="G17" s="244">
        <f t="shared" si="3"/>
        <v>0</v>
      </c>
      <c r="H17" s="245">
        <f t="shared" si="4"/>
        <v>0</v>
      </c>
      <c r="I17" s="237">
        <v>0</v>
      </c>
      <c r="J17" s="246">
        <f t="shared" si="2"/>
        <v>0</v>
      </c>
      <c r="L17" s="318">
        <v>43770</v>
      </c>
      <c r="M17" s="319">
        <v>273.2158</v>
      </c>
      <c r="N17" s="320">
        <f>283.4442/273.2158</f>
        <v>1.0374370735513834</v>
      </c>
      <c r="O17" s="321">
        <f t="shared" si="0"/>
        <v>1.0374370735513834</v>
      </c>
      <c r="P17" s="58">
        <f t="shared" si="1"/>
        <v>0</v>
      </c>
      <c r="Q17" s="57" t="s">
        <v>221</v>
      </c>
    </row>
    <row r="18" spans="1:17" ht="18">
      <c r="A18" s="224">
        <v>9</v>
      </c>
      <c r="B18" s="227" t="s">
        <v>206</v>
      </c>
      <c r="C18" s="225" t="s">
        <v>219</v>
      </c>
      <c r="D18" s="226">
        <f>283.4442/253.7102</f>
        <v>1.1171967071091349</v>
      </c>
      <c r="E18" s="237">
        <v>0</v>
      </c>
      <c r="F18" s="238">
        <v>0</v>
      </c>
      <c r="G18" s="244">
        <f t="shared" si="3"/>
        <v>0</v>
      </c>
      <c r="H18" s="245">
        <f t="shared" si="4"/>
        <v>0</v>
      </c>
      <c r="I18" s="237">
        <v>0</v>
      </c>
      <c r="J18" s="246">
        <f t="shared" si="2"/>
        <v>0</v>
      </c>
      <c r="L18" s="318">
        <v>43800</v>
      </c>
      <c r="M18" s="319">
        <v>283.4442</v>
      </c>
      <c r="N18" s="320">
        <f>283.4442/283.4442</f>
        <v>1</v>
      </c>
      <c r="O18" s="321">
        <f t="shared" si="0"/>
        <v>1</v>
      </c>
      <c r="P18" s="58">
        <f t="shared" si="1"/>
        <v>0</v>
      </c>
      <c r="Q18" s="57" t="s">
        <v>222</v>
      </c>
    </row>
    <row r="19" spans="1:10" ht="18">
      <c r="A19" s="224">
        <v>10</v>
      </c>
      <c r="B19" s="227" t="s">
        <v>207</v>
      </c>
      <c r="C19" s="225" t="s">
        <v>220</v>
      </c>
      <c r="D19" s="226">
        <f>283.4442/262.0661</f>
        <v>1.0815752209080076</v>
      </c>
      <c r="E19" s="237">
        <v>0</v>
      </c>
      <c r="F19" s="238">
        <v>0</v>
      </c>
      <c r="G19" s="244">
        <f t="shared" si="3"/>
        <v>0</v>
      </c>
      <c r="H19" s="245">
        <f t="shared" si="4"/>
        <v>0</v>
      </c>
      <c r="I19" s="237">
        <v>0</v>
      </c>
      <c r="J19" s="246">
        <f t="shared" si="2"/>
        <v>0</v>
      </c>
    </row>
    <row r="20" spans="1:10" ht="18">
      <c r="A20" s="224">
        <v>11</v>
      </c>
      <c r="B20" s="227" t="s">
        <v>208</v>
      </c>
      <c r="C20" s="225" t="s">
        <v>221</v>
      </c>
      <c r="D20" s="226">
        <f>283.4442/273.2158</f>
        <v>1.0374370735513834</v>
      </c>
      <c r="E20" s="237">
        <v>0</v>
      </c>
      <c r="F20" s="238">
        <v>0</v>
      </c>
      <c r="G20" s="244">
        <f t="shared" si="3"/>
        <v>0</v>
      </c>
      <c r="H20" s="245">
        <f t="shared" si="4"/>
        <v>0</v>
      </c>
      <c r="I20" s="237">
        <v>0</v>
      </c>
      <c r="J20" s="246">
        <f t="shared" si="2"/>
        <v>0</v>
      </c>
    </row>
    <row r="21" spans="1:10" ht="18.75" thickBot="1">
      <c r="A21" s="228">
        <v>12</v>
      </c>
      <c r="B21" s="229" t="s">
        <v>209</v>
      </c>
      <c r="C21" s="225" t="s">
        <v>222</v>
      </c>
      <c r="D21" s="226">
        <f>283.4442/283.4442</f>
        <v>1</v>
      </c>
      <c r="E21" s="237">
        <v>0</v>
      </c>
      <c r="F21" s="239">
        <v>0</v>
      </c>
      <c r="G21" s="244">
        <f t="shared" si="3"/>
        <v>0</v>
      </c>
      <c r="H21" s="245">
        <f t="shared" si="4"/>
        <v>0</v>
      </c>
      <c r="I21" s="237">
        <v>0</v>
      </c>
      <c r="J21" s="246">
        <f t="shared" si="2"/>
        <v>0</v>
      </c>
    </row>
    <row r="22" spans="1:12" s="58" customFormat="1" ht="18.75" thickBot="1">
      <c r="A22" s="230" t="s">
        <v>62</v>
      </c>
      <c r="B22" s="231"/>
      <c r="C22" s="231"/>
      <c r="D22" s="232"/>
      <c r="E22" s="240">
        <f aca="true" t="shared" si="5" ref="E22:J22">SUM(E9:E21)</f>
        <v>102200</v>
      </c>
      <c r="F22" s="240">
        <f t="shared" si="5"/>
        <v>14000</v>
      </c>
      <c r="G22" s="300">
        <f t="shared" si="5"/>
        <v>154870.37</v>
      </c>
      <c r="H22" s="247">
        <f t="shared" si="5"/>
        <v>20928.31</v>
      </c>
      <c r="I22" s="240">
        <f t="shared" si="5"/>
        <v>14000</v>
      </c>
      <c r="J22" s="307">
        <f t="shared" si="5"/>
        <v>20928.31</v>
      </c>
      <c r="K22" s="366" t="s">
        <v>187</v>
      </c>
      <c r="L22" s="366"/>
    </row>
    <row r="23" spans="1:12" ht="18.75" thickBot="1">
      <c r="A23" s="372" t="s">
        <v>151</v>
      </c>
      <c r="B23" s="373"/>
      <c r="C23" s="373"/>
      <c r="D23" s="374"/>
      <c r="E23" s="233">
        <f>+E22-F22</f>
        <v>88200</v>
      </c>
      <c r="F23" s="62"/>
      <c r="G23" s="301">
        <f>+G22-H22</f>
        <v>133942.06</v>
      </c>
      <c r="H23" s="62"/>
      <c r="I23" s="62"/>
      <c r="J23" s="305"/>
      <c r="K23" s="72" t="s">
        <v>182</v>
      </c>
      <c r="L23" s="72">
        <v>138447</v>
      </c>
    </row>
    <row r="24" spans="1:12" s="65" customFormat="1" ht="18.75" thickBot="1">
      <c r="A24" s="372" t="s">
        <v>152</v>
      </c>
      <c r="B24" s="373"/>
      <c r="C24" s="373"/>
      <c r="D24" s="374"/>
      <c r="E24" s="302">
        <f>+G23-E23</f>
        <v>45742.06</v>
      </c>
      <c r="F24" s="63"/>
      <c r="G24" s="63"/>
      <c r="H24" s="64"/>
      <c r="I24" s="172">
        <f>+J22-I22</f>
        <v>6928.310000000001</v>
      </c>
      <c r="J24" s="64"/>
      <c r="K24" s="66" t="s">
        <v>183</v>
      </c>
      <c r="L24" s="66">
        <f>5780.16+10643.21</f>
        <v>16423.37</v>
      </c>
    </row>
    <row r="25" spans="1:12" s="65" customFormat="1" ht="18">
      <c r="A25" s="369" t="s">
        <v>63</v>
      </c>
      <c r="B25" s="369"/>
      <c r="C25" s="369"/>
      <c r="D25" s="369"/>
      <c r="E25" s="369"/>
      <c r="F25" s="369"/>
      <c r="G25" s="165"/>
      <c r="H25" s="66">
        <f>137000-3057.94</f>
        <v>133942.06</v>
      </c>
      <c r="I25" s="64"/>
      <c r="J25" s="64"/>
      <c r="K25" s="66" t="s">
        <v>184</v>
      </c>
      <c r="L25" s="66">
        <f>3057.94-3057.94</f>
        <v>0</v>
      </c>
    </row>
    <row r="26" spans="1:12" s="65" customFormat="1" ht="18">
      <c r="A26" s="370" t="s">
        <v>64</v>
      </c>
      <c r="B26" s="370"/>
      <c r="C26" s="370"/>
      <c r="D26" s="370"/>
      <c r="E26" s="370"/>
      <c r="F26" s="370"/>
      <c r="G26" s="166"/>
      <c r="H26" s="66">
        <f>+H22</f>
        <v>20928.31</v>
      </c>
      <c r="I26" s="64"/>
      <c r="J26" s="64"/>
      <c r="K26" s="66" t="s">
        <v>185</v>
      </c>
      <c r="L26" s="66">
        <f>-137000+3057.94</f>
        <v>-133942.06</v>
      </c>
    </row>
    <row r="27" spans="1:12" s="65" customFormat="1" ht="18">
      <c r="A27" s="371" t="s">
        <v>65</v>
      </c>
      <c r="B27" s="371"/>
      <c r="C27" s="371"/>
      <c r="D27" s="371"/>
      <c r="E27" s="371"/>
      <c r="F27" s="371"/>
      <c r="G27" s="167"/>
      <c r="H27" s="303">
        <f>-G9</f>
        <v>-138447</v>
      </c>
      <c r="I27" s="64"/>
      <c r="J27" s="64"/>
      <c r="K27" s="66" t="s">
        <v>186</v>
      </c>
      <c r="L27" s="66">
        <f>SUM(L23:L26)</f>
        <v>20928.309999999998</v>
      </c>
    </row>
    <row r="28" spans="1:12" s="65" customFormat="1" ht="18">
      <c r="A28" s="371" t="s">
        <v>66</v>
      </c>
      <c r="B28" s="371"/>
      <c r="C28" s="371"/>
      <c r="D28" s="371"/>
      <c r="E28" s="371"/>
      <c r="F28" s="371"/>
      <c r="G28" s="167"/>
      <c r="H28" s="66">
        <f>-SUM(G10:G21)</f>
        <v>-16423.37</v>
      </c>
      <c r="L28" s="65">
        <f>+L27-J22</f>
        <v>0</v>
      </c>
    </row>
    <row r="29" spans="1:8" s="65" customFormat="1" ht="18">
      <c r="A29" s="371" t="s">
        <v>67</v>
      </c>
      <c r="B29" s="371"/>
      <c r="C29" s="371"/>
      <c r="D29" s="371"/>
      <c r="E29" s="371"/>
      <c r="F29" s="371"/>
      <c r="G29" s="167"/>
      <c r="H29" s="304">
        <f>SUM(H25:H28)</f>
        <v>0</v>
      </c>
    </row>
    <row r="30" spans="1:3" s="58" customFormat="1" ht="18.75" thickBot="1">
      <c r="A30" s="67"/>
      <c r="B30" s="67"/>
      <c r="C30" s="67"/>
    </row>
    <row r="31" spans="1:12" s="58" customFormat="1" ht="18">
      <c r="A31" s="392" t="s">
        <v>23</v>
      </c>
      <c r="B31" s="393"/>
      <c r="C31" s="393"/>
      <c r="D31" s="393"/>
      <c r="E31" s="394"/>
      <c r="F31" s="68">
        <f>+E24+H29</f>
        <v>45742.06</v>
      </c>
      <c r="G31" s="168"/>
      <c r="H31" s="69"/>
      <c r="I31" s="70" t="s">
        <v>68</v>
      </c>
      <c r="J31" s="68">
        <f>+I24</f>
        <v>6928.310000000001</v>
      </c>
      <c r="K31" s="69"/>
      <c r="L31" s="71"/>
    </row>
    <row r="32" spans="1:12" s="58" customFormat="1" ht="18.75" thickBot="1">
      <c r="A32" s="395" t="s">
        <v>143</v>
      </c>
      <c r="B32" s="396"/>
      <c r="C32" s="396"/>
      <c r="D32" s="396"/>
      <c r="E32" s="397"/>
      <c r="F32" s="72"/>
      <c r="G32" s="169">
        <f>+F31</f>
        <v>45742.06</v>
      </c>
      <c r="H32" s="73"/>
      <c r="I32" s="74" t="s">
        <v>69</v>
      </c>
      <c r="J32" s="75"/>
      <c r="K32" s="76">
        <f>+J31</f>
        <v>6928.310000000001</v>
      </c>
      <c r="L32" s="71"/>
    </row>
    <row r="33" spans="1:12" s="58" customFormat="1" ht="18.75" thickBot="1">
      <c r="A33" s="375"/>
      <c r="B33" s="376"/>
      <c r="C33" s="376"/>
      <c r="D33" s="377"/>
      <c r="E33" s="160"/>
      <c r="F33" s="77"/>
      <c r="G33" s="170"/>
      <c r="H33" s="76">
        <f>+F23</f>
        <v>0</v>
      </c>
      <c r="K33" s="57"/>
      <c r="L33" s="71"/>
    </row>
  </sheetData>
  <sheetProtection/>
  <mergeCells count="16">
    <mergeCell ref="A33:D33"/>
    <mergeCell ref="B6:D8"/>
    <mergeCell ref="E7:F7"/>
    <mergeCell ref="E6:H6"/>
    <mergeCell ref="G7:H7"/>
    <mergeCell ref="A23:D23"/>
    <mergeCell ref="A31:E31"/>
    <mergeCell ref="A32:E32"/>
    <mergeCell ref="A29:F29"/>
    <mergeCell ref="K22:L22"/>
    <mergeCell ref="I6:J6"/>
    <mergeCell ref="A25:F25"/>
    <mergeCell ref="A26:F26"/>
    <mergeCell ref="A27:F27"/>
    <mergeCell ref="A28:F28"/>
    <mergeCell ref="A24:D24"/>
  </mergeCells>
  <printOptions/>
  <pageMargins left="0.31496062992125984" right="0.31496062992125984" top="0.7480314960629921" bottom="0.7480314960629921" header="0.31496062992125984" footer="0.31496062992125984"/>
  <pageSetup cellComments="asDisplayed" fitToHeight="1" fitToWidth="1" horizontalDpi="600" verticalDpi="600" orientation="landscape" paperSize="9" scale="7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2"/>
  <sheetViews>
    <sheetView zoomScale="90" zoomScaleNormal="90" zoomScalePageLayoutView="0" workbookViewId="0" topLeftCell="A1">
      <selection activeCell="I12" sqref="I12"/>
    </sheetView>
  </sheetViews>
  <sheetFormatPr defaultColWidth="17.7109375" defaultRowHeight="15"/>
  <cols>
    <col min="1" max="1" width="17.7109375" style="18" customWidth="1"/>
    <col min="2" max="2" width="11.00390625" style="18" customWidth="1"/>
    <col min="3" max="3" width="5.28125" style="18" customWidth="1"/>
    <col min="4" max="4" width="7.421875" style="18" customWidth="1"/>
    <col min="5" max="5" width="6.421875" style="18" customWidth="1"/>
    <col min="6" max="6" width="17.7109375" style="18" customWidth="1"/>
    <col min="7" max="7" width="18.28125" style="18" customWidth="1"/>
    <col min="8" max="11" width="17.7109375" style="18" customWidth="1"/>
    <col min="12" max="12" width="15.7109375" style="18" customWidth="1"/>
    <col min="13" max="13" width="17.8515625" style="18" customWidth="1"/>
    <col min="14" max="255" width="11.00390625" style="83" customWidth="1"/>
    <col min="256" max="16384" width="17.7109375" style="83" customWidth="1"/>
  </cols>
  <sheetData>
    <row r="1" spans="1:13" ht="21" thickBot="1">
      <c r="A1" s="398" t="s">
        <v>71</v>
      </c>
      <c r="B1" s="398"/>
      <c r="C1" s="398"/>
      <c r="D1" s="398"/>
      <c r="E1" s="399"/>
      <c r="F1" s="297">
        <v>43830</v>
      </c>
      <c r="G1" s="80"/>
      <c r="H1" s="81"/>
      <c r="I1" s="82"/>
      <c r="J1" s="82"/>
      <c r="K1" s="82"/>
      <c r="L1" s="82"/>
      <c r="M1" s="82"/>
    </row>
    <row r="2" spans="1:13" ht="15.75">
      <c r="A2" s="84"/>
      <c r="B2" s="79"/>
      <c r="C2" s="79"/>
      <c r="D2" s="79"/>
      <c r="E2" s="79"/>
      <c r="F2" s="85"/>
      <c r="G2" s="80"/>
      <c r="H2" s="83"/>
      <c r="I2" s="82"/>
      <c r="J2" s="82"/>
      <c r="K2" s="82"/>
      <c r="L2" s="82"/>
      <c r="M2" s="82"/>
    </row>
    <row r="3" spans="1:13" ht="16.5" thickBot="1">
      <c r="A3" s="79"/>
      <c r="B3" s="79"/>
      <c r="C3" s="79"/>
      <c r="D3" s="79"/>
      <c r="E3" s="79"/>
      <c r="F3" s="85"/>
      <c r="G3" s="80"/>
      <c r="H3" s="81"/>
      <c r="I3" s="82"/>
      <c r="J3" s="82"/>
      <c r="K3" s="82"/>
      <c r="L3" s="82"/>
      <c r="M3" s="82"/>
    </row>
    <row r="4" spans="1:13" ht="16.5" thickBot="1">
      <c r="A4" s="86" t="s">
        <v>72</v>
      </c>
      <c r="B4" s="87" t="s">
        <v>73</v>
      </c>
      <c r="C4" s="414" t="s">
        <v>74</v>
      </c>
      <c r="D4" s="415"/>
      <c r="E4" s="416"/>
      <c r="F4" s="88" t="s">
        <v>75</v>
      </c>
      <c r="G4" s="89" t="s">
        <v>76</v>
      </c>
      <c r="H4" s="90" t="s">
        <v>77</v>
      </c>
      <c r="I4" s="91" t="s">
        <v>78</v>
      </c>
      <c r="J4" s="92"/>
      <c r="K4" s="93"/>
      <c r="L4" s="94" t="s">
        <v>79</v>
      </c>
      <c r="M4" s="94" t="s">
        <v>80</v>
      </c>
    </row>
    <row r="5" spans="1:13" ht="15.75">
      <c r="A5" s="95"/>
      <c r="B5" s="96" t="s">
        <v>81</v>
      </c>
      <c r="C5" s="87" t="s">
        <v>82</v>
      </c>
      <c r="D5" s="87" t="s">
        <v>83</v>
      </c>
      <c r="E5" s="87" t="s">
        <v>84</v>
      </c>
      <c r="F5" s="96" t="s">
        <v>81</v>
      </c>
      <c r="G5" s="97" t="s">
        <v>85</v>
      </c>
      <c r="H5" s="98"/>
      <c r="I5" s="94" t="s">
        <v>86</v>
      </c>
      <c r="J5" s="94" t="s">
        <v>87</v>
      </c>
      <c r="K5" s="94" t="s">
        <v>88</v>
      </c>
      <c r="L5" s="99" t="s">
        <v>89</v>
      </c>
      <c r="M5" s="99" t="s">
        <v>90</v>
      </c>
    </row>
    <row r="6" spans="1:13" ht="15.75">
      <c r="A6" s="100" t="s">
        <v>91</v>
      </c>
      <c r="B6" s="101"/>
      <c r="C6" s="102"/>
      <c r="D6" s="102"/>
      <c r="E6" s="102"/>
      <c r="F6" s="103"/>
      <c r="G6" s="103"/>
      <c r="H6" s="203"/>
      <c r="I6" s="104"/>
      <c r="J6" s="104"/>
      <c r="K6" s="104"/>
      <c r="L6" s="105"/>
      <c r="M6" s="106"/>
    </row>
    <row r="7" spans="1:13" ht="15.75">
      <c r="A7" s="173" t="s">
        <v>223</v>
      </c>
      <c r="B7" s="108">
        <v>42078</v>
      </c>
      <c r="C7" s="109">
        <v>10</v>
      </c>
      <c r="D7" s="110">
        <f>IF((ROUND(((($F$1-B7)/365)+0.5-1),0))&gt;C7,C7,(ROUND(((($F$1-B7)/365)+0.5-1),0)))</f>
        <v>4</v>
      </c>
      <c r="E7" s="111">
        <f>IF(D7&lt;=C7,(C7-D7),0)</f>
        <v>6</v>
      </c>
      <c r="F7" s="191">
        <v>623821.25</v>
      </c>
      <c r="G7" s="192">
        <f>IF(E7&gt;0,((F7/C7)*D7),F7)</f>
        <v>249528.5</v>
      </c>
      <c r="H7" s="248">
        <v>1.5383</v>
      </c>
      <c r="I7" s="193">
        <f>ROUND((F7*H7),2)</f>
        <v>959624.23</v>
      </c>
      <c r="J7" s="193">
        <f>ROUND((H7*G7),2)</f>
        <v>383849.69</v>
      </c>
      <c r="K7" s="193">
        <f>(I7-J7)</f>
        <v>575774.54</v>
      </c>
      <c r="L7" s="194">
        <f>IF(K7&gt;0,ROUND((K7/(E7)),2),0)</f>
        <v>95962.42</v>
      </c>
      <c r="M7" s="195">
        <f>(K7-L7)</f>
        <v>479812.12000000005</v>
      </c>
    </row>
    <row r="8" spans="1:13" ht="15.75">
      <c r="A8" s="107"/>
      <c r="B8" s="112"/>
      <c r="C8" s="113"/>
      <c r="D8" s="113"/>
      <c r="E8" s="102"/>
      <c r="F8" s="191"/>
      <c r="G8" s="192">
        <f>IF(E8&gt;0,((F8/C8)*D8),F8)</f>
        <v>0</v>
      </c>
      <c r="H8" s="248"/>
      <c r="I8" s="193">
        <f>ROUND((F8*H8),2)</f>
        <v>0</v>
      </c>
      <c r="J8" s="193">
        <f>ROUND((H8*G8),2)</f>
        <v>0</v>
      </c>
      <c r="K8" s="193">
        <f>(I8-J8)</f>
        <v>0</v>
      </c>
      <c r="L8" s="194">
        <f>IF(K8&gt;0,ROUND((K8/(E8)),2),0)</f>
        <v>0</v>
      </c>
      <c r="M8" s="195">
        <f>(K8-L8)</f>
        <v>0</v>
      </c>
    </row>
    <row r="9" spans="1:13" ht="15.75">
      <c r="A9" s="107"/>
      <c r="B9" s="112"/>
      <c r="C9" s="113"/>
      <c r="D9" s="113"/>
      <c r="E9" s="102"/>
      <c r="F9" s="191"/>
      <c r="G9" s="192"/>
      <c r="H9" s="248"/>
      <c r="I9" s="193"/>
      <c r="J9" s="193"/>
      <c r="K9" s="193"/>
      <c r="L9" s="194"/>
      <c r="M9" s="195"/>
    </row>
    <row r="10" spans="1:13" ht="15.75">
      <c r="A10" s="107"/>
      <c r="B10" s="114" t="s">
        <v>20</v>
      </c>
      <c r="C10" s="115"/>
      <c r="D10" s="115"/>
      <c r="E10" s="115"/>
      <c r="F10" s="196">
        <f>SUM(F6:F8)</f>
        <v>623821.25</v>
      </c>
      <c r="G10" s="197">
        <f>SUM(G6:G8)</f>
        <v>249528.5</v>
      </c>
      <c r="H10" s="249"/>
      <c r="I10" s="197">
        <f>SUM(I6:I8)</f>
        <v>959624.23</v>
      </c>
      <c r="J10" s="197">
        <f>SUM(J6:J8)</f>
        <v>383849.69</v>
      </c>
      <c r="K10" s="197">
        <f>SUM(K6:K8)</f>
        <v>575774.54</v>
      </c>
      <c r="L10" s="197">
        <f>SUM(L6:L8)</f>
        <v>95962.42</v>
      </c>
      <c r="M10" s="197">
        <f>SUM(M6:M8)</f>
        <v>479812.12000000005</v>
      </c>
    </row>
    <row r="11" spans="1:13" ht="16.5" thickBot="1">
      <c r="A11" s="100" t="s">
        <v>25</v>
      </c>
      <c r="B11" s="101"/>
      <c r="C11" s="116"/>
      <c r="D11" s="116"/>
      <c r="E11" s="116"/>
      <c r="F11" s="198"/>
      <c r="G11" s="198"/>
      <c r="H11" s="250"/>
      <c r="I11" s="199"/>
      <c r="J11" s="199"/>
      <c r="K11" s="199"/>
      <c r="L11" s="200"/>
      <c r="M11" s="201"/>
    </row>
    <row r="12" spans="1:13" ht="15.75">
      <c r="A12" s="173" t="s">
        <v>223</v>
      </c>
      <c r="B12" s="108">
        <v>41136</v>
      </c>
      <c r="C12" s="109">
        <v>5</v>
      </c>
      <c r="D12" s="110">
        <f>IF((ROUND(((($F$1-B12)/365)+0.5-1),0))&gt;C12,C12,(ROUND(((($F$1-B12)/365)+0.5-1),0)))</f>
        <v>5</v>
      </c>
      <c r="E12" s="111">
        <f>IF(D12&lt;=C12,(C12-D12),0)</f>
        <v>0</v>
      </c>
      <c r="F12" s="192">
        <v>823887</v>
      </c>
      <c r="G12" s="192">
        <f>IF(E12&gt;0,((F12/C12)*D12),F12)</f>
        <v>823887</v>
      </c>
      <c r="H12" s="248">
        <v>1.5383</v>
      </c>
      <c r="I12" s="193">
        <f>ROUND((F12*H12),2)</f>
        <v>1267385.37</v>
      </c>
      <c r="J12" s="193">
        <f>ROUND((H12*G12),2)</f>
        <v>1267385.37</v>
      </c>
      <c r="K12" s="193">
        <f>(I12-J12)</f>
        <v>0</v>
      </c>
      <c r="L12" s="194">
        <f>IF(K12&gt;0,ROUND((K12/(E12)),2),0)</f>
        <v>0</v>
      </c>
      <c r="M12" s="195">
        <f>(K12-L12)</f>
        <v>0</v>
      </c>
    </row>
    <row r="13" spans="1:13" ht="16.5" thickBot="1">
      <c r="A13" s="107"/>
      <c r="B13" s="108"/>
      <c r="C13" s="109"/>
      <c r="D13" s="110"/>
      <c r="E13" s="111"/>
      <c r="F13" s="192"/>
      <c r="G13" s="192"/>
      <c r="H13" s="204"/>
      <c r="I13" s="193"/>
      <c r="J13" s="193"/>
      <c r="K13" s="193"/>
      <c r="L13" s="194"/>
      <c r="M13" s="195"/>
    </row>
    <row r="14" spans="1:13" ht="16.5" thickBot="1">
      <c r="A14" s="107"/>
      <c r="B14" s="101"/>
      <c r="C14" s="102"/>
      <c r="D14" s="102"/>
      <c r="E14" s="102"/>
      <c r="F14" s="192"/>
      <c r="G14" s="192">
        <f>IF(E14&gt;0,((F14/C14)*D14),F14)</f>
        <v>0</v>
      </c>
      <c r="H14" s="204"/>
      <c r="I14" s="193">
        <f>ROUND((F14*H14),2)</f>
        <v>0</v>
      </c>
      <c r="J14" s="193">
        <f>ROUND((H14*G14),2)</f>
        <v>0</v>
      </c>
      <c r="K14" s="193">
        <f>(I14-J14)</f>
        <v>0</v>
      </c>
      <c r="L14" s="194">
        <f>IF(K14&gt;0,ROUND((K14/(E14)),2),0)</f>
        <v>0</v>
      </c>
      <c r="M14" s="195"/>
    </row>
    <row r="15" spans="1:13" ht="15.75">
      <c r="A15" s="107"/>
      <c r="B15" s="114" t="s">
        <v>20</v>
      </c>
      <c r="C15" s="115"/>
      <c r="D15" s="115"/>
      <c r="E15" s="115"/>
      <c r="F15" s="196">
        <f>SUM(F11:F14)</f>
        <v>823887</v>
      </c>
      <c r="G15" s="197">
        <f>SUM(G11:G14)</f>
        <v>823887</v>
      </c>
      <c r="H15" s="197"/>
      <c r="I15" s="197">
        <f>SUM(I11:I14)</f>
        <v>1267385.37</v>
      </c>
      <c r="J15" s="197">
        <f>SUM(J11:J14)</f>
        <v>1267385.37</v>
      </c>
      <c r="K15" s="197">
        <f>SUM(K11:K14)</f>
        <v>0</v>
      </c>
      <c r="L15" s="197">
        <f>SUM(L11:L14)</f>
        <v>0</v>
      </c>
      <c r="M15" s="197">
        <f>SUM(M11:M14)</f>
        <v>0</v>
      </c>
    </row>
    <row r="16" spans="1:13" ht="15.75">
      <c r="A16" s="79"/>
      <c r="B16" s="79"/>
      <c r="C16" s="79"/>
      <c r="D16" s="79"/>
      <c r="E16" s="79"/>
      <c r="F16" s="117"/>
      <c r="G16" s="117"/>
      <c r="H16" s="79"/>
      <c r="I16" s="79"/>
      <c r="J16" s="79"/>
      <c r="K16" s="79"/>
      <c r="L16" s="79"/>
      <c r="M16" s="79"/>
    </row>
    <row r="17" spans="1:13" ht="15.75">
      <c r="A17" s="408"/>
      <c r="B17" s="409"/>
      <c r="C17" s="409"/>
      <c r="D17" s="409"/>
      <c r="E17" s="410"/>
      <c r="F17" s="255" t="s">
        <v>92</v>
      </c>
      <c r="G17" s="255" t="s">
        <v>93</v>
      </c>
      <c r="H17" s="256" t="s">
        <v>94</v>
      </c>
      <c r="I17" s="256" t="s">
        <v>95</v>
      </c>
      <c r="J17" s="257" t="s">
        <v>96</v>
      </c>
      <c r="K17" s="253"/>
      <c r="L17" s="254"/>
      <c r="M17" s="118"/>
    </row>
    <row r="18" spans="1:13" ht="15.75">
      <c r="A18" s="411" t="s">
        <v>24</v>
      </c>
      <c r="B18" s="412"/>
      <c r="C18" s="412"/>
      <c r="D18" s="412"/>
      <c r="E18" s="413"/>
      <c r="F18" s="202">
        <v>623821.25</v>
      </c>
      <c r="G18" s="202">
        <v>249528.5</v>
      </c>
      <c r="H18" s="203">
        <f>(I10)</f>
        <v>959624.23</v>
      </c>
      <c r="I18" s="203">
        <f>(J10)</f>
        <v>383849.69</v>
      </c>
      <c r="J18" s="203">
        <f>(L10)</f>
        <v>95962.42</v>
      </c>
      <c r="K18" s="124"/>
      <c r="L18" s="124"/>
      <c r="M18" s="118"/>
    </row>
    <row r="19" spans="1:13" ht="15.75">
      <c r="A19" s="411" t="s">
        <v>25</v>
      </c>
      <c r="B19" s="412"/>
      <c r="C19" s="412"/>
      <c r="D19" s="412"/>
      <c r="E19" s="413"/>
      <c r="F19" s="202">
        <v>823887</v>
      </c>
      <c r="G19" s="202">
        <v>823887</v>
      </c>
      <c r="H19" s="203">
        <f>(I15)</f>
        <v>1267385.37</v>
      </c>
      <c r="I19" s="203">
        <f>(J15)</f>
        <v>1267385.37</v>
      </c>
      <c r="J19" s="203">
        <f>(L15)</f>
        <v>0</v>
      </c>
      <c r="K19" s="124"/>
      <c r="L19" s="124"/>
      <c r="M19" s="118"/>
    </row>
    <row r="20" spans="1:13" ht="15.75">
      <c r="A20" s="122"/>
      <c r="B20" s="119"/>
      <c r="C20" s="120"/>
      <c r="D20" s="120"/>
      <c r="E20" s="121"/>
      <c r="F20" s="123"/>
      <c r="G20" s="123"/>
      <c r="H20" s="124"/>
      <c r="I20" s="124"/>
      <c r="J20" s="124"/>
      <c r="K20" s="124"/>
      <c r="L20" s="324">
        <f>+L7*5</f>
        <v>479812.1</v>
      </c>
      <c r="M20" s="118"/>
    </row>
    <row r="21" spans="1:13" ht="15.75">
      <c r="A21" s="400" t="s">
        <v>24</v>
      </c>
      <c r="B21" s="400"/>
      <c r="C21" s="400"/>
      <c r="D21" s="400"/>
      <c r="E21" s="400"/>
      <c r="F21" s="251">
        <f>(H18-F18)</f>
        <v>335802.98</v>
      </c>
      <c r="G21" s="252"/>
      <c r="H21" s="79"/>
      <c r="I21" s="79"/>
      <c r="J21" s="79"/>
      <c r="K21" s="79"/>
      <c r="L21" s="79"/>
      <c r="M21" s="79"/>
    </row>
    <row r="22" spans="1:13" ht="15.75">
      <c r="A22" s="400" t="s">
        <v>25</v>
      </c>
      <c r="B22" s="400"/>
      <c r="C22" s="400"/>
      <c r="D22" s="400"/>
      <c r="E22" s="400"/>
      <c r="F22" s="251">
        <f>(H19-F19)</f>
        <v>443498.3700000001</v>
      </c>
      <c r="G22" s="251"/>
      <c r="H22" s="79"/>
      <c r="I22" s="79"/>
      <c r="J22" s="79"/>
      <c r="K22" s="79"/>
      <c r="L22" s="79"/>
      <c r="M22" s="79"/>
    </row>
    <row r="23" spans="1:13" ht="15.75">
      <c r="A23" s="400" t="s">
        <v>98</v>
      </c>
      <c r="B23" s="400"/>
      <c r="C23" s="400"/>
      <c r="D23" s="400"/>
      <c r="E23" s="400"/>
      <c r="F23" s="251"/>
      <c r="G23" s="251">
        <f>(I18-G18)</f>
        <v>134321.19</v>
      </c>
      <c r="H23" s="79"/>
      <c r="I23" s="79"/>
      <c r="J23" s="79"/>
      <c r="K23" s="79"/>
      <c r="L23" s="79"/>
      <c r="M23" s="79"/>
    </row>
    <row r="24" spans="1:13" ht="15.75">
      <c r="A24" s="400" t="s">
        <v>99</v>
      </c>
      <c r="B24" s="400"/>
      <c r="C24" s="400"/>
      <c r="D24" s="400"/>
      <c r="E24" s="400"/>
      <c r="F24" s="251"/>
      <c r="G24" s="251">
        <f>(I19-G19)</f>
        <v>443498.3700000001</v>
      </c>
      <c r="H24" s="79"/>
      <c r="I24" s="79"/>
      <c r="J24" s="79"/>
      <c r="K24" s="79"/>
      <c r="L24" s="79"/>
      <c r="M24" s="79"/>
    </row>
    <row r="25" spans="1:13" ht="15.75">
      <c r="A25" s="400" t="s">
        <v>100</v>
      </c>
      <c r="B25" s="400"/>
      <c r="C25" s="400"/>
      <c r="D25" s="400"/>
      <c r="E25" s="400"/>
      <c r="F25" s="252"/>
      <c r="G25" s="251">
        <f>SUM(F21:F22)-SUM(G23:G24)</f>
        <v>201481.79000000004</v>
      </c>
      <c r="H25" s="79"/>
      <c r="I25" s="322"/>
      <c r="J25" s="79"/>
      <c r="K25" s="79"/>
      <c r="L25" s="79"/>
      <c r="M25" s="79"/>
    </row>
    <row r="26" spans="1:13" ht="15.75">
      <c r="A26" s="400" t="s">
        <v>101</v>
      </c>
      <c r="B26" s="400"/>
      <c r="C26" s="400"/>
      <c r="D26" s="400"/>
      <c r="E26" s="400"/>
      <c r="F26" s="252"/>
      <c r="G26" s="252"/>
      <c r="H26" s="79"/>
      <c r="I26" s="79"/>
      <c r="J26" s="79"/>
      <c r="K26" s="79"/>
      <c r="L26" s="79"/>
      <c r="M26" s="79"/>
    </row>
    <row r="27" spans="1:13" ht="15.75">
      <c r="A27" s="405"/>
      <c r="B27" s="406"/>
      <c r="C27" s="406"/>
      <c r="D27" s="406"/>
      <c r="E27" s="407"/>
      <c r="F27" s="252"/>
      <c r="G27" s="252"/>
      <c r="H27" s="79"/>
      <c r="I27" s="323"/>
      <c r="J27" s="79"/>
      <c r="K27" s="79"/>
      <c r="L27" s="79"/>
      <c r="M27" s="79"/>
    </row>
    <row r="28" spans="1:13" ht="15.75">
      <c r="A28" s="400" t="s">
        <v>102</v>
      </c>
      <c r="B28" s="400"/>
      <c r="C28" s="400"/>
      <c r="D28" s="400"/>
      <c r="E28" s="400"/>
      <c r="F28" s="251">
        <f>+J18</f>
        <v>95962.42</v>
      </c>
      <c r="G28" s="252"/>
      <c r="H28" s="79"/>
      <c r="I28" s="79"/>
      <c r="J28" s="79"/>
      <c r="K28" s="79"/>
      <c r="L28" s="79"/>
      <c r="M28" s="79"/>
    </row>
    <row r="29" spans="1:124" ht="15.75">
      <c r="A29" s="400" t="s">
        <v>103</v>
      </c>
      <c r="B29" s="400"/>
      <c r="C29" s="400"/>
      <c r="D29" s="400"/>
      <c r="E29" s="400"/>
      <c r="F29" s="251">
        <f>+J19</f>
        <v>0</v>
      </c>
      <c r="G29" s="251"/>
      <c r="H29" s="119"/>
      <c r="I29" s="119"/>
      <c r="J29" s="119"/>
      <c r="K29" s="119"/>
      <c r="L29" s="119"/>
      <c r="M29" s="119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</row>
    <row r="30" spans="1:256" s="127" customFormat="1" ht="15.75">
      <c r="A30" s="400" t="s">
        <v>98</v>
      </c>
      <c r="B30" s="400"/>
      <c r="C30" s="400"/>
      <c r="D30" s="400"/>
      <c r="E30" s="400"/>
      <c r="F30" s="251"/>
      <c r="G30" s="251">
        <f>(F28)</f>
        <v>95962.42</v>
      </c>
      <c r="H30" s="126"/>
      <c r="I30" s="126"/>
      <c r="J30" s="126"/>
      <c r="K30" s="126"/>
      <c r="L30" s="126"/>
      <c r="M30" s="126"/>
      <c r="N30" s="126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2"/>
      <c r="DV30" s="402"/>
      <c r="DW30" s="402"/>
      <c r="DX30" s="402"/>
      <c r="DY30" s="403"/>
      <c r="DZ30" s="401"/>
      <c r="EA30" s="402"/>
      <c r="EB30" s="402"/>
      <c r="EC30" s="402"/>
      <c r="ED30" s="403"/>
      <c r="EE30" s="401"/>
      <c r="EF30" s="402"/>
      <c r="EG30" s="402"/>
      <c r="EH30" s="402"/>
      <c r="EI30" s="403"/>
      <c r="EJ30" s="401"/>
      <c r="EK30" s="402"/>
      <c r="EL30" s="402"/>
      <c r="EM30" s="402"/>
      <c r="EN30" s="403"/>
      <c r="EO30" s="401"/>
      <c r="EP30" s="402"/>
      <c r="EQ30" s="402"/>
      <c r="ER30" s="402"/>
      <c r="ES30" s="403"/>
      <c r="ET30" s="401"/>
      <c r="EU30" s="402"/>
      <c r="EV30" s="402"/>
      <c r="EW30" s="402"/>
      <c r="EX30" s="403"/>
      <c r="EY30" s="401"/>
      <c r="EZ30" s="402"/>
      <c r="FA30" s="402"/>
      <c r="FB30" s="402"/>
      <c r="FC30" s="403"/>
      <c r="FD30" s="401"/>
      <c r="FE30" s="402"/>
      <c r="FF30" s="402"/>
      <c r="FG30" s="402"/>
      <c r="FH30" s="403"/>
      <c r="FI30" s="401"/>
      <c r="FJ30" s="402"/>
      <c r="FK30" s="402"/>
      <c r="FL30" s="402"/>
      <c r="FM30" s="403"/>
      <c r="FN30" s="401"/>
      <c r="FO30" s="402"/>
      <c r="FP30" s="402"/>
      <c r="FQ30" s="402"/>
      <c r="FR30" s="403"/>
      <c r="FS30" s="401"/>
      <c r="FT30" s="402"/>
      <c r="FU30" s="402"/>
      <c r="FV30" s="402"/>
      <c r="FW30" s="403"/>
      <c r="FX30" s="401"/>
      <c r="FY30" s="402"/>
      <c r="FZ30" s="402"/>
      <c r="GA30" s="402"/>
      <c r="GB30" s="403"/>
      <c r="GC30" s="401"/>
      <c r="GD30" s="402"/>
      <c r="GE30" s="402"/>
      <c r="GF30" s="402"/>
      <c r="GG30" s="403"/>
      <c r="GH30" s="401"/>
      <c r="GI30" s="402"/>
      <c r="GJ30" s="402"/>
      <c r="GK30" s="402"/>
      <c r="GL30" s="403"/>
      <c r="GM30" s="401"/>
      <c r="GN30" s="402"/>
      <c r="GO30" s="402"/>
      <c r="GP30" s="402"/>
      <c r="GQ30" s="403"/>
      <c r="GR30" s="401"/>
      <c r="GS30" s="402"/>
      <c r="GT30" s="402"/>
      <c r="GU30" s="402"/>
      <c r="GV30" s="403"/>
      <c r="GW30" s="401"/>
      <c r="GX30" s="402"/>
      <c r="GY30" s="402"/>
      <c r="GZ30" s="402"/>
      <c r="HA30" s="403"/>
      <c r="HB30" s="401"/>
      <c r="HC30" s="402"/>
      <c r="HD30" s="402"/>
      <c r="HE30" s="402"/>
      <c r="HF30" s="403"/>
      <c r="HG30" s="401"/>
      <c r="HH30" s="402"/>
      <c r="HI30" s="402"/>
      <c r="HJ30" s="402"/>
      <c r="HK30" s="403"/>
      <c r="HL30" s="401"/>
      <c r="HM30" s="402"/>
      <c r="HN30" s="402"/>
      <c r="HO30" s="402"/>
      <c r="HP30" s="403"/>
      <c r="HQ30" s="401"/>
      <c r="HR30" s="402"/>
      <c r="HS30" s="402"/>
      <c r="HT30" s="402"/>
      <c r="HU30" s="403"/>
      <c r="HV30" s="401"/>
      <c r="HW30" s="402"/>
      <c r="HX30" s="402"/>
      <c r="HY30" s="402"/>
      <c r="HZ30" s="403"/>
      <c r="IA30" s="401"/>
      <c r="IB30" s="402"/>
      <c r="IC30" s="402"/>
      <c r="ID30" s="402"/>
      <c r="IE30" s="403"/>
      <c r="IF30" s="401"/>
      <c r="IG30" s="402"/>
      <c r="IH30" s="402"/>
      <c r="II30" s="402"/>
      <c r="IJ30" s="403"/>
      <c r="IK30" s="401"/>
      <c r="IL30" s="402"/>
      <c r="IM30" s="402"/>
      <c r="IN30" s="402"/>
      <c r="IO30" s="403"/>
      <c r="IP30" s="401"/>
      <c r="IQ30" s="402"/>
      <c r="IR30" s="402"/>
      <c r="IS30" s="402"/>
      <c r="IT30" s="403"/>
      <c r="IU30" s="401"/>
      <c r="IV30" s="402"/>
    </row>
    <row r="31" spans="1:7" ht="15.75">
      <c r="A31" s="400" t="s">
        <v>99</v>
      </c>
      <c r="B31" s="400"/>
      <c r="C31" s="400"/>
      <c r="D31" s="400"/>
      <c r="E31" s="400"/>
      <c r="F31" s="251"/>
      <c r="G31" s="251">
        <f>(F29)</f>
        <v>0</v>
      </c>
    </row>
    <row r="32" spans="1:7" ht="15.75">
      <c r="A32" s="400" t="s">
        <v>104</v>
      </c>
      <c r="B32" s="400"/>
      <c r="C32" s="400"/>
      <c r="D32" s="400"/>
      <c r="E32" s="400" t="s">
        <v>97</v>
      </c>
      <c r="F32" s="251"/>
      <c r="G32" s="251" t="s">
        <v>97</v>
      </c>
    </row>
  </sheetData>
  <sheetProtection/>
  <mergeCells count="66">
    <mergeCell ref="CV30:CZ30"/>
    <mergeCell ref="A27:E27"/>
    <mergeCell ref="A17:E17"/>
    <mergeCell ref="A18:E18"/>
    <mergeCell ref="A19:E19"/>
    <mergeCell ref="C4:E4"/>
    <mergeCell ref="A21:E21"/>
    <mergeCell ref="A22:E22"/>
    <mergeCell ref="A23:E23"/>
    <mergeCell ref="A24:E24"/>
    <mergeCell ref="A25:E25"/>
    <mergeCell ref="FN30:FR30"/>
    <mergeCell ref="FS30:FW30"/>
    <mergeCell ref="FX30:GB30"/>
    <mergeCell ref="GC30:GG30"/>
    <mergeCell ref="A26:E26"/>
    <mergeCell ref="A28:E28"/>
    <mergeCell ref="A29:E29"/>
    <mergeCell ref="A30:E30"/>
    <mergeCell ref="O30:S30"/>
    <mergeCell ref="CB30:CF30"/>
    <mergeCell ref="T30:X30"/>
    <mergeCell ref="Y30:AC30"/>
    <mergeCell ref="AD30:AH30"/>
    <mergeCell ref="AI30:AM30"/>
    <mergeCell ref="AN30:AR30"/>
    <mergeCell ref="AS30:AW30"/>
    <mergeCell ref="DA30:DE30"/>
    <mergeCell ref="AX30:BB30"/>
    <mergeCell ref="BC30:BG30"/>
    <mergeCell ref="BH30:BL30"/>
    <mergeCell ref="BM30:BQ30"/>
    <mergeCell ref="BR30:BV30"/>
    <mergeCell ref="BW30:CA30"/>
    <mergeCell ref="CG30:CK30"/>
    <mergeCell ref="CL30:CP30"/>
    <mergeCell ref="CQ30:CU30"/>
    <mergeCell ref="ET30:EX30"/>
    <mergeCell ref="EY30:FC30"/>
    <mergeCell ref="FD30:FH30"/>
    <mergeCell ref="FI30:FM30"/>
    <mergeCell ref="DF30:DJ30"/>
    <mergeCell ref="DK30:DO30"/>
    <mergeCell ref="DP30:DT30"/>
    <mergeCell ref="DU30:DY30"/>
    <mergeCell ref="DZ30:ED30"/>
    <mergeCell ref="EE30:EI30"/>
    <mergeCell ref="IK30:IO30"/>
    <mergeCell ref="IP30:IT30"/>
    <mergeCell ref="IU30:IV30"/>
    <mergeCell ref="GR30:GV30"/>
    <mergeCell ref="GW30:HA30"/>
    <mergeCell ref="HB30:HF30"/>
    <mergeCell ref="HG30:HK30"/>
    <mergeCell ref="HL30:HP30"/>
    <mergeCell ref="HQ30:HU30"/>
    <mergeCell ref="A1:E1"/>
    <mergeCell ref="A31:E31"/>
    <mergeCell ref="A32:E32"/>
    <mergeCell ref="HV30:HZ30"/>
    <mergeCell ref="IA30:IE30"/>
    <mergeCell ref="IF30:IJ30"/>
    <mergeCell ref="GH30:GL30"/>
    <mergeCell ref="GM30:GQ30"/>
    <mergeCell ref="EJ30:EN30"/>
    <mergeCell ref="EO30:ES30"/>
  </mergeCells>
  <printOptions/>
  <pageMargins left="0.25" right="0.25" top="0.75" bottom="0.75" header="0.3" footer="0.3"/>
  <pageSetup cellComments="asDisplayed"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zoomScale="80" zoomScaleNormal="80" zoomScalePageLayoutView="0" workbookViewId="0" topLeftCell="A1">
      <selection activeCell="C54" sqref="C54"/>
    </sheetView>
  </sheetViews>
  <sheetFormatPr defaultColWidth="11.57421875" defaultRowHeight="15"/>
  <cols>
    <col min="1" max="1" width="73.140625" style="142" customWidth="1"/>
    <col min="2" max="2" width="17.00390625" style="143" customWidth="1"/>
    <col min="3" max="3" width="16.28125" style="143" customWidth="1"/>
    <col min="4" max="4" width="10.00390625" style="175" customWidth="1"/>
    <col min="5" max="5" width="17.57421875" style="143" customWidth="1"/>
    <col min="6" max="6" width="11.57421875" style="144" customWidth="1"/>
    <col min="7" max="7" width="12.140625" style="144" bestFit="1" customWidth="1"/>
    <col min="8" max="8" width="11.57421875" style="144" customWidth="1"/>
    <col min="9" max="16384" width="11.57421875" style="142" customWidth="1"/>
  </cols>
  <sheetData>
    <row r="1" spans="1:5" s="142" customFormat="1" ht="15.75" thickBot="1">
      <c r="A1" s="296" t="s">
        <v>106</v>
      </c>
      <c r="C1" s="143"/>
      <c r="D1" s="175"/>
      <c r="E1" s="143"/>
    </row>
    <row r="2" spans="1:5" s="142" customFormat="1" ht="23.25" customHeight="1">
      <c r="A2" s="258" t="s">
        <v>107</v>
      </c>
      <c r="B2" s="259"/>
      <c r="C2" s="259"/>
      <c r="D2" s="260"/>
      <c r="E2" s="261"/>
    </row>
    <row r="3" spans="1:5" s="142" customFormat="1" ht="15">
      <c r="A3" s="262" t="s">
        <v>108</v>
      </c>
      <c r="B3" s="263"/>
      <c r="C3" s="263"/>
      <c r="D3" s="264"/>
      <c r="E3" s="265"/>
    </row>
    <row r="4" spans="1:5" s="142" customFormat="1" ht="15">
      <c r="A4" s="266" t="s">
        <v>109</v>
      </c>
      <c r="B4" s="263"/>
      <c r="C4" s="263"/>
      <c r="D4" s="264"/>
      <c r="E4" s="265"/>
    </row>
    <row r="5" spans="1:5" s="142" customFormat="1" ht="15">
      <c r="A5" s="266" t="s">
        <v>110</v>
      </c>
      <c r="B5" s="263">
        <v>5000</v>
      </c>
      <c r="C5" s="263"/>
      <c r="D5" s="264"/>
      <c r="E5" s="265"/>
    </row>
    <row r="6" spans="1:5" s="142" customFormat="1" ht="15.75" thickBot="1">
      <c r="A6" s="266" t="s">
        <v>111</v>
      </c>
      <c r="B6" s="267">
        <v>18968.05</v>
      </c>
      <c r="C6" s="267">
        <f>SUM(B5:B6)</f>
        <v>23968.05</v>
      </c>
      <c r="D6" s="268">
        <v>1.5383</v>
      </c>
      <c r="E6" s="265">
        <f>ROUND(C6*D6,2)</f>
        <v>36870.05</v>
      </c>
    </row>
    <row r="7" spans="1:5" s="142" customFormat="1" ht="15">
      <c r="A7" s="266" t="s">
        <v>112</v>
      </c>
      <c r="B7" s="263"/>
      <c r="C7" s="263"/>
      <c r="D7" s="264"/>
      <c r="E7" s="265"/>
    </row>
    <row r="8" spans="1:5" s="142" customFormat="1" ht="15">
      <c r="A8" s="266" t="s">
        <v>113</v>
      </c>
      <c r="B8" s="263"/>
      <c r="C8" s="263"/>
      <c r="D8" s="264"/>
      <c r="E8" s="265"/>
    </row>
    <row r="9" spans="1:5" s="142" customFormat="1" ht="15">
      <c r="A9" s="266" t="s">
        <v>114</v>
      </c>
      <c r="B9" s="263"/>
      <c r="C9" s="263"/>
      <c r="D9" s="264"/>
      <c r="E9" s="265"/>
    </row>
    <row r="10" spans="1:5" s="142" customFormat="1" ht="15.75" thickBot="1">
      <c r="A10" s="266" t="s">
        <v>115</v>
      </c>
      <c r="B10" s="263"/>
      <c r="C10" s="263"/>
      <c r="D10" s="264"/>
      <c r="E10" s="269"/>
    </row>
    <row r="11" spans="1:5" s="142" customFormat="1" ht="30">
      <c r="A11" s="266" t="s">
        <v>116</v>
      </c>
      <c r="B11" s="263"/>
      <c r="C11" s="263"/>
      <c r="D11" s="264"/>
      <c r="E11" s="265">
        <f>SUM(E6:E10)</f>
        <v>36870.05</v>
      </c>
    </row>
    <row r="12" spans="1:5" s="142" customFormat="1" ht="15">
      <c r="A12" s="266" t="s">
        <v>117</v>
      </c>
      <c r="B12" s="263"/>
      <c r="C12" s="263"/>
      <c r="D12" s="264"/>
      <c r="E12" s="265"/>
    </row>
    <row r="13" spans="1:5" s="142" customFormat="1" ht="15">
      <c r="A13" s="266" t="s">
        <v>118</v>
      </c>
      <c r="B13" s="263"/>
      <c r="C13" s="263">
        <v>5000</v>
      </c>
      <c r="D13" s="264"/>
      <c r="E13" s="265"/>
    </row>
    <row r="14" spans="1:5" s="142" customFormat="1" ht="15.75" thickBot="1">
      <c r="A14" s="266" t="s">
        <v>119</v>
      </c>
      <c r="B14" s="263"/>
      <c r="C14" s="267">
        <v>18968.05</v>
      </c>
      <c r="D14" s="268"/>
      <c r="E14" s="269">
        <f>SUM(C13:C14)</f>
        <v>23968.05</v>
      </c>
    </row>
    <row r="15" spans="1:5" s="142" customFormat="1" ht="15.75" thickBot="1">
      <c r="A15" s="270" t="s">
        <v>120</v>
      </c>
      <c r="B15" s="267"/>
      <c r="C15" s="267"/>
      <c r="D15" s="268"/>
      <c r="E15" s="271">
        <f>E11-E14</f>
        <v>12902.000000000004</v>
      </c>
    </row>
    <row r="16" spans="1:5" s="142" customFormat="1" ht="15">
      <c r="A16" s="272" t="s">
        <v>160</v>
      </c>
      <c r="B16" s="273"/>
      <c r="C16" s="273"/>
      <c r="D16" s="274"/>
      <c r="E16" s="275"/>
    </row>
    <row r="17" spans="1:5" ht="15">
      <c r="A17" s="276" t="s">
        <v>122</v>
      </c>
      <c r="B17" s="277"/>
      <c r="C17" s="277"/>
      <c r="D17" s="278"/>
      <c r="E17" s="279"/>
    </row>
    <row r="18" spans="1:5" ht="15">
      <c r="A18" s="276" t="s">
        <v>162</v>
      </c>
      <c r="B18" s="277"/>
      <c r="C18" s="277">
        <v>0</v>
      </c>
      <c r="D18" s="278">
        <v>1.5383</v>
      </c>
      <c r="E18" s="279">
        <f>ROUND(C18*D18,2)</f>
        <v>0</v>
      </c>
    </row>
    <row r="19" spans="1:5" ht="15">
      <c r="A19" s="276" t="s">
        <v>189</v>
      </c>
      <c r="B19" s="277"/>
      <c r="C19" s="277">
        <v>0</v>
      </c>
      <c r="D19" s="278">
        <v>1.5383</v>
      </c>
      <c r="E19" s="309">
        <f>ROUND(C19*D19,2)</f>
        <v>0</v>
      </c>
    </row>
    <row r="20" spans="1:5" ht="15">
      <c r="A20" s="308" t="s">
        <v>188</v>
      </c>
      <c r="B20" s="277"/>
      <c r="C20" s="277"/>
      <c r="D20" s="278"/>
      <c r="E20" s="279">
        <f>SUM(E18:E19)</f>
        <v>0</v>
      </c>
    </row>
    <row r="21" spans="1:5" ht="15">
      <c r="A21" s="276" t="s">
        <v>124</v>
      </c>
      <c r="B21" s="277"/>
      <c r="C21" s="277"/>
      <c r="D21" s="278"/>
      <c r="E21" s="279"/>
    </row>
    <row r="22" spans="1:5" ht="15">
      <c r="A22" s="276" t="s">
        <v>125</v>
      </c>
      <c r="B22" s="277"/>
      <c r="C22" s="277"/>
      <c r="D22" s="278"/>
      <c r="E22" s="279"/>
    </row>
    <row r="23" spans="1:5" ht="15.75" thickBot="1">
      <c r="A23" s="276" t="s">
        <v>190</v>
      </c>
      <c r="B23" s="277"/>
      <c r="C23" s="280"/>
      <c r="D23" s="281"/>
      <c r="E23" s="282"/>
    </row>
    <row r="24" spans="1:5" ht="15">
      <c r="A24" s="276" t="s">
        <v>161</v>
      </c>
      <c r="B24" s="277"/>
      <c r="C24" s="277"/>
      <c r="D24" s="278"/>
      <c r="E24" s="279">
        <f>SUM(E18:E23)</f>
        <v>0</v>
      </c>
    </row>
    <row r="25" spans="1:5" ht="15">
      <c r="A25" s="276" t="s">
        <v>163</v>
      </c>
      <c r="B25" s="277"/>
      <c r="C25" s="277"/>
      <c r="D25" s="278"/>
      <c r="E25" s="279">
        <v>0</v>
      </c>
    </row>
    <row r="26" spans="1:5" ht="15.75" thickBot="1">
      <c r="A26" s="283" t="s">
        <v>175</v>
      </c>
      <c r="B26" s="280"/>
      <c r="C26" s="280"/>
      <c r="D26" s="281"/>
      <c r="E26" s="284">
        <f>E24-E25</f>
        <v>0</v>
      </c>
    </row>
    <row r="27" spans="1:8" ht="15">
      <c r="A27" s="258" t="s">
        <v>121</v>
      </c>
      <c r="B27" s="259"/>
      <c r="C27" s="259"/>
      <c r="D27" s="260"/>
      <c r="E27" s="261"/>
      <c r="F27" s="142"/>
      <c r="G27" s="142"/>
      <c r="H27" s="142"/>
    </row>
    <row r="28" spans="1:8" ht="15">
      <c r="A28" s="266" t="s">
        <v>122</v>
      </c>
      <c r="B28" s="263"/>
      <c r="C28" s="263"/>
      <c r="D28" s="264"/>
      <c r="E28" s="265"/>
      <c r="F28" s="142"/>
      <c r="G28" s="142"/>
      <c r="H28" s="142"/>
    </row>
    <row r="29" spans="1:8" ht="15">
      <c r="A29" s="266" t="s">
        <v>123</v>
      </c>
      <c r="B29" s="263"/>
      <c r="C29" s="263">
        <v>1476.5</v>
      </c>
      <c r="D29" s="264">
        <v>1.5383</v>
      </c>
      <c r="E29" s="265">
        <f>ROUND(C29*D29,2)</f>
        <v>2271.3</v>
      </c>
      <c r="F29" s="142"/>
      <c r="G29" s="142"/>
      <c r="H29" s="142"/>
    </row>
    <row r="30" spans="1:8" ht="15">
      <c r="A30" s="266" t="s">
        <v>124</v>
      </c>
      <c r="B30" s="263"/>
      <c r="C30" s="263"/>
      <c r="D30" s="264"/>
      <c r="E30" s="265"/>
      <c r="F30" s="142"/>
      <c r="G30" s="142"/>
      <c r="H30" s="142"/>
    </row>
    <row r="31" spans="1:8" ht="15">
      <c r="A31" s="266" t="s">
        <v>125</v>
      </c>
      <c r="B31" s="263"/>
      <c r="C31" s="263"/>
      <c r="D31" s="264">
        <v>1.5383</v>
      </c>
      <c r="E31" s="265">
        <f>ROUND(C31*D31,2)</f>
        <v>0</v>
      </c>
      <c r="F31" s="142"/>
      <c r="G31" s="142"/>
      <c r="H31" s="142"/>
    </row>
    <row r="32" spans="1:8" ht="15.75" thickBot="1">
      <c r="A32" s="266" t="s">
        <v>126</v>
      </c>
      <c r="B32" s="263"/>
      <c r="C32" s="267"/>
      <c r="D32" s="268"/>
      <c r="E32" s="269"/>
      <c r="F32" s="142"/>
      <c r="G32" s="142"/>
      <c r="H32" s="142"/>
    </row>
    <row r="33" spans="1:8" ht="15">
      <c r="A33" s="266" t="s">
        <v>127</v>
      </c>
      <c r="B33" s="263"/>
      <c r="C33" s="263"/>
      <c r="D33" s="264"/>
      <c r="E33" s="265">
        <f>SUM(E29:E32)</f>
        <v>2271.3</v>
      </c>
      <c r="F33" s="142"/>
      <c r="G33" s="142"/>
      <c r="H33" s="142"/>
    </row>
    <row r="34" spans="1:8" ht="15">
      <c r="A34" s="266" t="s">
        <v>128</v>
      </c>
      <c r="B34" s="263"/>
      <c r="C34" s="263"/>
      <c r="D34" s="264"/>
      <c r="E34" s="265">
        <v>1476.5</v>
      </c>
      <c r="F34" s="142"/>
      <c r="G34" s="142"/>
      <c r="H34" s="142"/>
    </row>
    <row r="35" spans="1:8" ht="15.75" thickBot="1">
      <c r="A35" s="270" t="s">
        <v>129</v>
      </c>
      <c r="B35" s="267"/>
      <c r="C35" s="267"/>
      <c r="D35" s="268"/>
      <c r="E35" s="286">
        <f>E33-E34</f>
        <v>794.8000000000002</v>
      </c>
      <c r="F35" s="142"/>
      <c r="G35" s="142"/>
      <c r="H35" s="142"/>
    </row>
    <row r="36" spans="1:8" ht="15">
      <c r="A36" s="272" t="s">
        <v>130</v>
      </c>
      <c r="B36" s="273"/>
      <c r="C36" s="273"/>
      <c r="D36" s="274"/>
      <c r="E36" s="275"/>
      <c r="F36" s="142"/>
      <c r="G36" s="142"/>
      <c r="H36" s="142"/>
    </row>
    <row r="37" spans="1:8" ht="15">
      <c r="A37" s="276" t="s">
        <v>122</v>
      </c>
      <c r="B37" s="277"/>
      <c r="C37" s="277"/>
      <c r="D37" s="278"/>
      <c r="E37" s="279"/>
      <c r="F37" s="142"/>
      <c r="G37" s="142"/>
      <c r="H37" s="142"/>
    </row>
    <row r="38" spans="1:8" ht="15">
      <c r="A38" s="276" t="s">
        <v>131</v>
      </c>
      <c r="B38" s="277"/>
      <c r="C38" s="277">
        <v>414384.38</v>
      </c>
      <c r="D38" s="278">
        <v>1.5383</v>
      </c>
      <c r="E38" s="279">
        <f>ROUND(C38*D38,2)</f>
        <v>637447.49</v>
      </c>
      <c r="F38" s="142"/>
      <c r="G38" s="142"/>
      <c r="H38" s="142"/>
    </row>
    <row r="39" spans="1:8" ht="15">
      <c r="A39" s="276" t="s">
        <v>192</v>
      </c>
      <c r="B39" s="277"/>
      <c r="C39" s="277"/>
      <c r="D39" s="278"/>
      <c r="E39" s="309">
        <f>ROUND(C39*D39,2)</f>
        <v>0</v>
      </c>
      <c r="F39" s="142"/>
      <c r="G39" s="142"/>
      <c r="H39" s="142"/>
    </row>
    <row r="40" spans="1:8" ht="15">
      <c r="A40" s="276" t="s">
        <v>191</v>
      </c>
      <c r="B40" s="277"/>
      <c r="C40" s="277"/>
      <c r="D40" s="278"/>
      <c r="E40" s="279">
        <f>SUM(E38:E39)</f>
        <v>637447.49</v>
      </c>
      <c r="F40" s="142"/>
      <c r="G40" s="142"/>
      <c r="H40" s="142"/>
    </row>
    <row r="41" spans="1:8" ht="15">
      <c r="A41" s="276" t="s">
        <v>194</v>
      </c>
      <c r="B41" s="277"/>
      <c r="C41" s="277"/>
      <c r="D41" s="278"/>
      <c r="E41" s="309">
        <f>ROUND(C41*D41,2)</f>
        <v>0</v>
      </c>
      <c r="F41" s="142"/>
      <c r="H41" s="142"/>
    </row>
    <row r="42" spans="1:8" ht="15">
      <c r="A42" s="276" t="s">
        <v>193</v>
      </c>
      <c r="B42" s="277"/>
      <c r="C42" s="277"/>
      <c r="D42" s="278"/>
      <c r="E42" s="279">
        <f>SUM(E40:E41)</f>
        <v>637447.49</v>
      </c>
      <c r="F42" s="142"/>
      <c r="G42" s="142"/>
      <c r="H42" s="142"/>
    </row>
    <row r="43" spans="1:8" ht="15">
      <c r="A43" s="276" t="s">
        <v>132</v>
      </c>
      <c r="B43" s="277"/>
      <c r="C43" s="277"/>
      <c r="D43" s="278"/>
      <c r="E43" s="279"/>
      <c r="F43" s="142"/>
      <c r="G43" s="142"/>
      <c r="H43" s="142"/>
    </row>
    <row r="44" spans="1:8" ht="15">
      <c r="A44" s="276" t="s">
        <v>133</v>
      </c>
      <c r="B44" s="277"/>
      <c r="C44" s="277"/>
      <c r="D44" s="278"/>
      <c r="E44" s="279">
        <f>C44*D44</f>
        <v>0</v>
      </c>
      <c r="F44" s="142"/>
      <c r="G44" s="142"/>
      <c r="H44" s="142"/>
    </row>
    <row r="45" spans="1:8" ht="15">
      <c r="A45" s="276" t="s">
        <v>224</v>
      </c>
      <c r="B45" s="277"/>
      <c r="C45" s="277">
        <v>-10175</v>
      </c>
      <c r="D45" s="278">
        <v>1.3304</v>
      </c>
      <c r="E45" s="279">
        <f>ROUND(C45*D45,2)</f>
        <v>-13536.82</v>
      </c>
      <c r="F45" s="142"/>
      <c r="G45" s="142"/>
      <c r="H45" s="142"/>
    </row>
    <row r="46" spans="1:8" ht="15.75" thickBot="1">
      <c r="A46" s="276" t="s">
        <v>134</v>
      </c>
      <c r="B46" s="277"/>
      <c r="C46" s="280"/>
      <c r="D46" s="281"/>
      <c r="E46" s="282"/>
      <c r="F46" s="142"/>
      <c r="G46" s="142"/>
      <c r="H46" s="142"/>
    </row>
    <row r="47" spans="1:8" ht="15">
      <c r="A47" s="276" t="s">
        <v>135</v>
      </c>
      <c r="B47" s="277"/>
      <c r="C47" s="277"/>
      <c r="D47" s="278"/>
      <c r="E47" s="279">
        <f>SUM(E42:E46)</f>
        <v>623910.67</v>
      </c>
      <c r="G47" s="142"/>
      <c r="H47" s="142"/>
    </row>
    <row r="48" spans="1:8" ht="15.75" thickBot="1">
      <c r="A48" s="276" t="s">
        <v>136</v>
      </c>
      <c r="B48" s="277"/>
      <c r="C48" s="277"/>
      <c r="D48" s="278"/>
      <c r="E48" s="279">
        <f>+(414384.38-10175)</f>
        <v>404209.38</v>
      </c>
      <c r="F48" s="142"/>
      <c r="G48" s="142"/>
      <c r="H48" s="142"/>
    </row>
    <row r="49" spans="1:8" ht="15.75" thickBot="1">
      <c r="A49" s="283" t="s">
        <v>137</v>
      </c>
      <c r="B49" s="280"/>
      <c r="C49" s="280"/>
      <c r="D49" s="281"/>
      <c r="E49" s="285">
        <f>E47-E48</f>
        <v>219701.29000000004</v>
      </c>
      <c r="F49" s="142"/>
      <c r="G49" s="142"/>
      <c r="H49" s="142"/>
    </row>
    <row r="50" spans="1:8" ht="15">
      <c r="A50" s="145" t="s">
        <v>138</v>
      </c>
      <c r="B50" s="206">
        <f>SUM(C51:C54)</f>
        <v>233398.09000000003</v>
      </c>
      <c r="C50" s="146"/>
      <c r="F50" s="142"/>
      <c r="G50" s="142"/>
      <c r="H50" s="142"/>
    </row>
    <row r="51" spans="1:8" ht="15">
      <c r="A51" s="147" t="s">
        <v>139</v>
      </c>
      <c r="B51" s="148"/>
      <c r="C51" s="149">
        <f>E15</f>
        <v>12902.000000000004</v>
      </c>
      <c r="F51" s="142"/>
      <c r="G51" s="142"/>
      <c r="H51" s="142"/>
    </row>
    <row r="52" spans="1:8" ht="15">
      <c r="A52" s="147" t="s">
        <v>170</v>
      </c>
      <c r="B52" s="148"/>
      <c r="C52" s="149">
        <f>+E26</f>
        <v>0</v>
      </c>
      <c r="F52" s="142"/>
      <c r="G52" s="142"/>
      <c r="H52" s="142"/>
    </row>
    <row r="53" spans="1:8" ht="15">
      <c r="A53" s="147" t="s">
        <v>140</v>
      </c>
      <c r="B53" s="148"/>
      <c r="C53" s="149">
        <f>E35</f>
        <v>794.8000000000002</v>
      </c>
      <c r="F53" s="142"/>
      <c r="G53" s="142"/>
      <c r="H53" s="142"/>
    </row>
    <row r="54" spans="1:8" ht="15.75" thickBot="1">
      <c r="A54" s="150" t="s">
        <v>141</v>
      </c>
      <c r="B54" s="151"/>
      <c r="C54" s="207">
        <f>E49</f>
        <v>219701.29000000004</v>
      </c>
      <c r="F54" s="142"/>
      <c r="G54" s="142"/>
      <c r="H54" s="142"/>
    </row>
  </sheetData>
  <sheetProtection/>
  <printOptions horizontalCentered="1"/>
  <pageMargins left="0.33" right="0.32" top="0.32" bottom="0.34" header="0.31496062992125984" footer="0.31496062992125984"/>
  <pageSetup cellComments="asDisplayed" fitToHeight="1" fitToWidth="1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3"/>
  <sheetViews>
    <sheetView zoomScale="89" zoomScaleNormal="89" zoomScalePageLayoutView="0" workbookViewId="0" topLeftCell="A34">
      <selection activeCell="F50" sqref="F50"/>
    </sheetView>
  </sheetViews>
  <sheetFormatPr defaultColWidth="19.28125" defaultRowHeight="15"/>
  <cols>
    <col min="1" max="1" width="14.00390625" style="78" customWidth="1"/>
    <col min="2" max="2" width="10.57421875" style="78" customWidth="1"/>
    <col min="3" max="3" width="17.57421875" style="78" customWidth="1"/>
    <col min="4" max="4" width="17.140625" style="57" customWidth="1"/>
    <col min="5" max="5" width="15.421875" style="57" customWidth="1"/>
    <col min="6" max="6" width="17.00390625" style="57" customWidth="1"/>
    <col min="7" max="7" width="19.421875" style="57" customWidth="1"/>
    <col min="8" max="8" width="21.57421875" style="57" customWidth="1"/>
    <col min="9" max="9" width="2.140625" style="57" customWidth="1"/>
    <col min="10" max="13" width="17.00390625" style="57" customWidth="1"/>
    <col min="14" max="14" width="3.28125" style="57" customWidth="1"/>
    <col min="15" max="253" width="17.00390625" style="57" customWidth="1"/>
    <col min="254" max="254" width="14.00390625" style="57" customWidth="1"/>
    <col min="255" max="16384" width="19.28125" style="57" customWidth="1"/>
  </cols>
  <sheetData>
    <row r="1" spans="1:3" ht="18">
      <c r="A1" s="56" t="s">
        <v>179</v>
      </c>
      <c r="B1" s="56"/>
      <c r="C1" s="56"/>
    </row>
    <row r="2" spans="1:11" ht="18">
      <c r="A2" s="417" t="s">
        <v>154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3" ht="18.75" thickBot="1">
      <c r="A3" s="56"/>
      <c r="B3" s="56"/>
      <c r="C3" s="56"/>
    </row>
    <row r="4" spans="1:18" s="58" customFormat="1" ht="18.75" thickBot="1">
      <c r="A4" s="221"/>
      <c r="B4" s="378" t="s">
        <v>33</v>
      </c>
      <c r="C4" s="379"/>
      <c r="D4" s="380"/>
      <c r="E4" s="387" t="s">
        <v>155</v>
      </c>
      <c r="F4" s="389"/>
      <c r="G4" s="389"/>
      <c r="H4" s="388"/>
      <c r="J4" s="387" t="s">
        <v>142</v>
      </c>
      <c r="K4" s="389"/>
      <c r="L4" s="389"/>
      <c r="M4" s="388"/>
      <c r="O4" s="387" t="s">
        <v>156</v>
      </c>
      <c r="P4" s="389"/>
      <c r="Q4" s="389"/>
      <c r="R4" s="388"/>
    </row>
    <row r="5" spans="1:18" s="58" customFormat="1" ht="18.75" thickBot="1">
      <c r="A5" s="222"/>
      <c r="B5" s="381"/>
      <c r="C5" s="382"/>
      <c r="D5" s="383"/>
      <c r="E5" s="387" t="s">
        <v>48</v>
      </c>
      <c r="F5" s="388"/>
      <c r="G5" s="378" t="s">
        <v>61</v>
      </c>
      <c r="H5" s="380"/>
      <c r="J5" s="387" t="s">
        <v>48</v>
      </c>
      <c r="K5" s="388"/>
      <c r="L5" s="378" t="s">
        <v>61</v>
      </c>
      <c r="M5" s="380"/>
      <c r="O5" s="387" t="s">
        <v>48</v>
      </c>
      <c r="P5" s="388"/>
      <c r="Q5" s="378" t="s">
        <v>61</v>
      </c>
      <c r="R5" s="380"/>
    </row>
    <row r="6" spans="1:18" s="58" customFormat="1" ht="18.75" thickBot="1">
      <c r="A6" s="223" t="s">
        <v>60</v>
      </c>
      <c r="B6" s="384"/>
      <c r="C6" s="385"/>
      <c r="D6" s="386"/>
      <c r="E6" s="171" t="s">
        <v>149</v>
      </c>
      <c r="F6" s="171" t="s">
        <v>150</v>
      </c>
      <c r="G6" s="287" t="s">
        <v>149</v>
      </c>
      <c r="H6" s="287" t="s">
        <v>150</v>
      </c>
      <c r="J6" s="171" t="s">
        <v>149</v>
      </c>
      <c r="K6" s="171" t="s">
        <v>150</v>
      </c>
      <c r="L6" s="287" t="s">
        <v>149</v>
      </c>
      <c r="M6" s="287" t="s">
        <v>150</v>
      </c>
      <c r="O6" s="171" t="s">
        <v>149</v>
      </c>
      <c r="P6" s="171" t="s">
        <v>150</v>
      </c>
      <c r="Q6" s="287" t="s">
        <v>149</v>
      </c>
      <c r="R6" s="287" t="s">
        <v>150</v>
      </c>
    </row>
    <row r="7" spans="1:18" ht="18">
      <c r="A7" s="224">
        <v>1</v>
      </c>
      <c r="B7" s="227" t="s">
        <v>201</v>
      </c>
      <c r="C7" s="225" t="s">
        <v>211</v>
      </c>
      <c r="D7" s="226">
        <f>283.4442/189.6101</f>
        <v>1.4948792284799177</v>
      </c>
      <c r="E7" s="60">
        <v>0</v>
      </c>
      <c r="F7" s="163">
        <v>21600</v>
      </c>
      <c r="G7" s="288">
        <f aca="true" t="shared" si="0" ref="G7:H18">ROUND(($D7*E7),2)</f>
        <v>0</v>
      </c>
      <c r="H7" s="289">
        <f t="shared" si="0"/>
        <v>32289.39</v>
      </c>
      <c r="J7" s="60">
        <v>0</v>
      </c>
      <c r="K7" s="163">
        <v>0</v>
      </c>
      <c r="L7" s="288">
        <f aca="true" t="shared" si="1" ref="L7:L18">ROUND(($D7*J7),2)</f>
        <v>0</v>
      </c>
      <c r="M7" s="289">
        <f aca="true" t="shared" si="2" ref="M7:M18">ROUND(($D7*K7),2)</f>
        <v>0</v>
      </c>
      <c r="O7" s="60">
        <v>0</v>
      </c>
      <c r="P7" s="163">
        <v>0</v>
      </c>
      <c r="Q7" s="288">
        <f aca="true" t="shared" si="3" ref="Q7:Q18">ROUND(($D7*O7),2)</f>
        <v>0</v>
      </c>
      <c r="R7" s="289">
        <f aca="true" t="shared" si="4" ref="R7:R18">ROUND(($D7*P7),2)</f>
        <v>0</v>
      </c>
    </row>
    <row r="8" spans="1:18" ht="18">
      <c r="A8" s="224">
        <v>2</v>
      </c>
      <c r="B8" s="227" t="s">
        <v>202</v>
      </c>
      <c r="C8" s="225" t="s">
        <v>212</v>
      </c>
      <c r="D8" s="226">
        <f>283.4442/196.7501</f>
        <v>1.4406305257278142</v>
      </c>
      <c r="E8" s="60">
        <v>0</v>
      </c>
      <c r="F8" s="163">
        <v>0</v>
      </c>
      <c r="G8" s="288">
        <f t="shared" si="0"/>
        <v>0</v>
      </c>
      <c r="H8" s="289">
        <f t="shared" si="0"/>
        <v>0</v>
      </c>
      <c r="J8" s="60">
        <v>0</v>
      </c>
      <c r="K8" s="163">
        <v>0</v>
      </c>
      <c r="L8" s="288">
        <f t="shared" si="1"/>
        <v>0</v>
      </c>
      <c r="M8" s="289">
        <f t="shared" si="2"/>
        <v>0</v>
      </c>
      <c r="O8" s="60">
        <v>0</v>
      </c>
      <c r="P8" s="163">
        <v>0</v>
      </c>
      <c r="Q8" s="288">
        <f t="shared" si="3"/>
        <v>0</v>
      </c>
      <c r="R8" s="289">
        <f t="shared" si="4"/>
        <v>0</v>
      </c>
    </row>
    <row r="9" spans="1:18" ht="18">
      <c r="A9" s="224">
        <v>3</v>
      </c>
      <c r="B9" s="227" t="s">
        <v>203</v>
      </c>
      <c r="C9" s="225" t="s">
        <v>213</v>
      </c>
      <c r="D9" s="226">
        <f>283.4442/205.9571</f>
        <v>1.3762293215431758</v>
      </c>
      <c r="E9" s="60">
        <v>0</v>
      </c>
      <c r="F9" s="163">
        <v>0</v>
      </c>
      <c r="G9" s="288">
        <f t="shared" si="0"/>
        <v>0</v>
      </c>
      <c r="H9" s="289">
        <f t="shared" si="0"/>
        <v>0</v>
      </c>
      <c r="J9" s="60">
        <v>5000</v>
      </c>
      <c r="K9" s="163">
        <v>0</v>
      </c>
      <c r="L9" s="288">
        <f t="shared" si="1"/>
        <v>6881.15</v>
      </c>
      <c r="M9" s="289">
        <f t="shared" si="2"/>
        <v>0</v>
      </c>
      <c r="O9" s="60">
        <v>0</v>
      </c>
      <c r="P9" s="163">
        <v>0</v>
      </c>
      <c r="Q9" s="288">
        <f t="shared" si="3"/>
        <v>0</v>
      </c>
      <c r="R9" s="289">
        <f t="shared" si="4"/>
        <v>0</v>
      </c>
    </row>
    <row r="10" spans="1:18" ht="18">
      <c r="A10" s="224">
        <v>4</v>
      </c>
      <c r="B10" s="227" t="s">
        <v>204</v>
      </c>
      <c r="C10" s="225" t="s">
        <v>214</v>
      </c>
      <c r="D10" s="226">
        <f>283.4442/213.0517</f>
        <v>1.3304010247278009</v>
      </c>
      <c r="E10" s="60">
        <v>0</v>
      </c>
      <c r="F10" s="163">
        <v>0</v>
      </c>
      <c r="G10" s="288">
        <f t="shared" si="0"/>
        <v>0</v>
      </c>
      <c r="H10" s="289">
        <f t="shared" si="0"/>
        <v>0</v>
      </c>
      <c r="J10" s="60">
        <v>0</v>
      </c>
      <c r="K10" s="163">
        <v>0</v>
      </c>
      <c r="L10" s="288">
        <f t="shared" si="1"/>
        <v>0</v>
      </c>
      <c r="M10" s="289">
        <f t="shared" si="2"/>
        <v>0</v>
      </c>
      <c r="O10" s="60">
        <v>0</v>
      </c>
      <c r="P10" s="163">
        <v>0</v>
      </c>
      <c r="Q10" s="288">
        <f t="shared" si="3"/>
        <v>0</v>
      </c>
      <c r="R10" s="289">
        <f t="shared" si="4"/>
        <v>0</v>
      </c>
    </row>
    <row r="11" spans="1:18" ht="18">
      <c r="A11" s="224">
        <v>5</v>
      </c>
      <c r="B11" s="227" t="s">
        <v>203</v>
      </c>
      <c r="C11" s="225" t="s">
        <v>215</v>
      </c>
      <c r="D11" s="226">
        <f>283.4442/219.5691</f>
        <v>1.2909111527988228</v>
      </c>
      <c r="E11" s="60">
        <v>0</v>
      </c>
      <c r="F11" s="163">
        <v>0</v>
      </c>
      <c r="G11" s="288">
        <f t="shared" si="0"/>
        <v>0</v>
      </c>
      <c r="H11" s="289">
        <f t="shared" si="0"/>
        <v>0</v>
      </c>
      <c r="J11" s="60">
        <v>0</v>
      </c>
      <c r="K11" s="163">
        <v>0</v>
      </c>
      <c r="L11" s="288">
        <f t="shared" si="1"/>
        <v>0</v>
      </c>
      <c r="M11" s="289">
        <f t="shared" si="2"/>
        <v>0</v>
      </c>
      <c r="O11" s="60">
        <v>0</v>
      </c>
      <c r="P11" s="163">
        <v>0</v>
      </c>
      <c r="Q11" s="288">
        <f t="shared" si="3"/>
        <v>0</v>
      </c>
      <c r="R11" s="289">
        <f t="shared" si="4"/>
        <v>0</v>
      </c>
    </row>
    <row r="12" spans="1:18" ht="18">
      <c r="A12" s="224">
        <v>6</v>
      </c>
      <c r="B12" s="227" t="s">
        <v>205</v>
      </c>
      <c r="C12" s="225" t="s">
        <v>216</v>
      </c>
      <c r="D12" s="226">
        <f>283.4442/225.537</f>
        <v>1.2567525505792843</v>
      </c>
      <c r="E12" s="60">
        <v>0</v>
      </c>
      <c r="F12" s="163">
        <v>0</v>
      </c>
      <c r="G12" s="288">
        <f t="shared" si="0"/>
        <v>0</v>
      </c>
      <c r="H12" s="289">
        <f t="shared" si="0"/>
        <v>0</v>
      </c>
      <c r="J12" s="60">
        <v>0</v>
      </c>
      <c r="K12" s="163">
        <v>0</v>
      </c>
      <c r="L12" s="288">
        <f t="shared" si="1"/>
        <v>0</v>
      </c>
      <c r="M12" s="289">
        <f t="shared" si="2"/>
        <v>0</v>
      </c>
      <c r="O12" s="60">
        <v>0</v>
      </c>
      <c r="P12" s="163">
        <v>0</v>
      </c>
      <c r="Q12" s="288">
        <f t="shared" si="3"/>
        <v>0</v>
      </c>
      <c r="R12" s="289">
        <f t="shared" si="4"/>
        <v>0</v>
      </c>
    </row>
    <row r="13" spans="1:18" ht="18">
      <c r="A13" s="224">
        <v>7</v>
      </c>
      <c r="B13" s="227" t="s">
        <v>205</v>
      </c>
      <c r="C13" s="225" t="s">
        <v>217</v>
      </c>
      <c r="D13" s="226">
        <f>283.4442/230.494</f>
        <v>1.2297248518399613</v>
      </c>
      <c r="E13" s="60">
        <v>0</v>
      </c>
      <c r="F13" s="163">
        <v>0</v>
      </c>
      <c r="G13" s="288">
        <f t="shared" si="0"/>
        <v>0</v>
      </c>
      <c r="H13" s="289">
        <f t="shared" si="0"/>
        <v>0</v>
      </c>
      <c r="J13" s="60">
        <v>0</v>
      </c>
      <c r="K13" s="163">
        <v>0</v>
      </c>
      <c r="L13" s="288">
        <f t="shared" si="1"/>
        <v>0</v>
      </c>
      <c r="M13" s="289">
        <f t="shared" si="2"/>
        <v>0</v>
      </c>
      <c r="O13" s="60">
        <v>0</v>
      </c>
      <c r="P13" s="163">
        <v>0</v>
      </c>
      <c r="Q13" s="288">
        <f t="shared" si="3"/>
        <v>0</v>
      </c>
      <c r="R13" s="289">
        <f t="shared" si="4"/>
        <v>0</v>
      </c>
    </row>
    <row r="14" spans="1:18" ht="18">
      <c r="A14" s="224">
        <v>8</v>
      </c>
      <c r="B14" s="227" t="s">
        <v>204</v>
      </c>
      <c r="C14" s="225" t="s">
        <v>218</v>
      </c>
      <c r="D14" s="226">
        <f>283.4442/239.6077</f>
        <v>1.18295113220485</v>
      </c>
      <c r="E14" s="60">
        <v>0</v>
      </c>
      <c r="F14" s="163">
        <v>0</v>
      </c>
      <c r="G14" s="288">
        <f t="shared" si="0"/>
        <v>0</v>
      </c>
      <c r="H14" s="289">
        <f t="shared" si="0"/>
        <v>0</v>
      </c>
      <c r="J14" s="60">
        <v>0</v>
      </c>
      <c r="K14" s="163">
        <v>0</v>
      </c>
      <c r="L14" s="288">
        <f t="shared" si="1"/>
        <v>0</v>
      </c>
      <c r="M14" s="289">
        <f t="shared" si="2"/>
        <v>0</v>
      </c>
      <c r="O14" s="60">
        <v>0</v>
      </c>
      <c r="P14" s="163">
        <v>0</v>
      </c>
      <c r="Q14" s="288">
        <f t="shared" si="3"/>
        <v>0</v>
      </c>
      <c r="R14" s="289">
        <f t="shared" si="4"/>
        <v>0</v>
      </c>
    </row>
    <row r="15" spans="1:18" ht="18">
      <c r="A15" s="224">
        <v>9</v>
      </c>
      <c r="B15" s="227" t="s">
        <v>206</v>
      </c>
      <c r="C15" s="225" t="s">
        <v>219</v>
      </c>
      <c r="D15" s="226">
        <f>283.4442/253.7102</f>
        <v>1.1171967071091349</v>
      </c>
      <c r="E15" s="60">
        <v>0</v>
      </c>
      <c r="F15" s="163">
        <v>0</v>
      </c>
      <c r="G15" s="288">
        <f t="shared" si="0"/>
        <v>0</v>
      </c>
      <c r="H15" s="289">
        <f t="shared" si="0"/>
        <v>0</v>
      </c>
      <c r="J15" s="60">
        <v>0</v>
      </c>
      <c r="K15" s="163">
        <v>0</v>
      </c>
      <c r="L15" s="288">
        <f t="shared" si="1"/>
        <v>0</v>
      </c>
      <c r="M15" s="289">
        <f t="shared" si="2"/>
        <v>0</v>
      </c>
      <c r="O15" s="60">
        <v>0</v>
      </c>
      <c r="P15" s="163">
        <v>0</v>
      </c>
      <c r="Q15" s="288">
        <f t="shared" si="3"/>
        <v>0</v>
      </c>
      <c r="R15" s="289">
        <f t="shared" si="4"/>
        <v>0</v>
      </c>
    </row>
    <row r="16" spans="1:18" ht="18">
      <c r="A16" s="224">
        <v>10</v>
      </c>
      <c r="B16" s="227" t="s">
        <v>207</v>
      </c>
      <c r="C16" s="225" t="s">
        <v>220</v>
      </c>
      <c r="D16" s="226">
        <f>283.4442/262.0661</f>
        <v>1.0815752209080076</v>
      </c>
      <c r="E16" s="60">
        <v>0</v>
      </c>
      <c r="F16" s="163">
        <v>0</v>
      </c>
      <c r="G16" s="288">
        <f t="shared" si="0"/>
        <v>0</v>
      </c>
      <c r="H16" s="289">
        <f t="shared" si="0"/>
        <v>0</v>
      </c>
      <c r="J16" s="60">
        <v>0</v>
      </c>
      <c r="K16" s="163">
        <v>0</v>
      </c>
      <c r="L16" s="288">
        <f t="shared" si="1"/>
        <v>0</v>
      </c>
      <c r="M16" s="289">
        <f t="shared" si="2"/>
        <v>0</v>
      </c>
      <c r="O16" s="60">
        <v>0</v>
      </c>
      <c r="P16" s="163">
        <v>0</v>
      </c>
      <c r="Q16" s="288">
        <f t="shared" si="3"/>
        <v>0</v>
      </c>
      <c r="R16" s="289">
        <f t="shared" si="4"/>
        <v>0</v>
      </c>
    </row>
    <row r="17" spans="1:18" ht="18">
      <c r="A17" s="224">
        <v>11</v>
      </c>
      <c r="B17" s="227" t="s">
        <v>208</v>
      </c>
      <c r="C17" s="225" t="s">
        <v>221</v>
      </c>
      <c r="D17" s="226">
        <f>283.4442/273.2158</f>
        <v>1.0374370735513834</v>
      </c>
      <c r="E17" s="60">
        <v>0</v>
      </c>
      <c r="F17" s="163">
        <v>0</v>
      </c>
      <c r="G17" s="288">
        <f t="shared" si="0"/>
        <v>0</v>
      </c>
      <c r="H17" s="289">
        <f t="shared" si="0"/>
        <v>0</v>
      </c>
      <c r="J17" s="60">
        <v>0</v>
      </c>
      <c r="K17" s="163">
        <v>0</v>
      </c>
      <c r="L17" s="288">
        <f t="shared" si="1"/>
        <v>0</v>
      </c>
      <c r="M17" s="289">
        <f t="shared" si="2"/>
        <v>0</v>
      </c>
      <c r="O17" s="60">
        <v>0</v>
      </c>
      <c r="P17" s="163">
        <v>0</v>
      </c>
      <c r="Q17" s="288">
        <f t="shared" si="3"/>
        <v>0</v>
      </c>
      <c r="R17" s="289">
        <f t="shared" si="4"/>
        <v>0</v>
      </c>
    </row>
    <row r="18" spans="1:18" ht="18.75" thickBot="1">
      <c r="A18" s="228">
        <v>12</v>
      </c>
      <c r="B18" s="229" t="s">
        <v>209</v>
      </c>
      <c r="C18" s="225" t="s">
        <v>222</v>
      </c>
      <c r="D18" s="226">
        <f>283.4442/283.4442</f>
        <v>1</v>
      </c>
      <c r="E18" s="60">
        <v>0</v>
      </c>
      <c r="F18" s="164">
        <v>0</v>
      </c>
      <c r="G18" s="288">
        <f t="shared" si="0"/>
        <v>0</v>
      </c>
      <c r="H18" s="289">
        <f t="shared" si="0"/>
        <v>0</v>
      </c>
      <c r="J18" s="60">
        <v>0</v>
      </c>
      <c r="K18" s="164">
        <v>0</v>
      </c>
      <c r="L18" s="288">
        <f t="shared" si="1"/>
        <v>0</v>
      </c>
      <c r="M18" s="289">
        <f t="shared" si="2"/>
        <v>0</v>
      </c>
      <c r="O18" s="60">
        <v>0</v>
      </c>
      <c r="P18" s="164">
        <v>0</v>
      </c>
      <c r="Q18" s="288">
        <f t="shared" si="3"/>
        <v>0</v>
      </c>
      <c r="R18" s="289">
        <f t="shared" si="4"/>
        <v>0</v>
      </c>
    </row>
    <row r="19" spans="1:18" s="58" customFormat="1" ht="18.75" thickBot="1">
      <c r="A19" s="230" t="s">
        <v>62</v>
      </c>
      <c r="B19" s="231"/>
      <c r="C19" s="231"/>
      <c r="D19" s="232"/>
      <c r="E19" s="61">
        <f>SUM(E7:E18)</f>
        <v>0</v>
      </c>
      <c r="F19" s="61">
        <f>SUM(F7:F18)</f>
        <v>21600</v>
      </c>
      <c r="G19" s="290">
        <f>SUM(G7:G18)</f>
        <v>0</v>
      </c>
      <c r="H19" s="290">
        <f>SUM(H7:H18)</f>
        <v>32289.39</v>
      </c>
      <c r="J19" s="61">
        <f>SUM(J7:J18)</f>
        <v>5000</v>
      </c>
      <c r="K19" s="61">
        <f>SUM(K7:K18)</f>
        <v>0</v>
      </c>
      <c r="L19" s="290">
        <f>SUM(L7:L18)</f>
        <v>6881.15</v>
      </c>
      <c r="M19" s="290">
        <f>SUM(M7:M18)</f>
        <v>0</v>
      </c>
      <c r="O19" s="61">
        <f>SUM(O7:O18)</f>
        <v>0</v>
      </c>
      <c r="P19" s="61">
        <f>SUM(P7:P18)</f>
        <v>0</v>
      </c>
      <c r="Q19" s="290">
        <f>SUM(Q7:Q18)</f>
        <v>0</v>
      </c>
      <c r="R19" s="290">
        <f>SUM(R7:R18)</f>
        <v>0</v>
      </c>
    </row>
    <row r="20" spans="1:18" ht="18.75" thickBot="1">
      <c r="A20" s="418" t="s">
        <v>151</v>
      </c>
      <c r="B20" s="419"/>
      <c r="C20" s="419"/>
      <c r="D20" s="420"/>
      <c r="E20" s="159">
        <f>IF(+E19-F19&gt;0,+E19-F19,0)</f>
        <v>0</v>
      </c>
      <c r="F20" s="159">
        <f>IF(+E19-F19&lt;0,(+E19-F19),0)</f>
        <v>-21600</v>
      </c>
      <c r="G20" s="159">
        <f>IF(+G19-H19&gt;0,+G19-H19,0)</f>
        <v>0</v>
      </c>
      <c r="H20" s="159">
        <f>IF(+G19-H19&lt;0,(+G19-H19),0)</f>
        <v>-32289.39</v>
      </c>
      <c r="J20" s="159">
        <f>IF(+J19-K19&gt;0,+J19-K19,0)</f>
        <v>5000</v>
      </c>
      <c r="K20" s="159">
        <f>IF(+J19-K19&lt;0,(+J19-K19),0)</f>
        <v>0</v>
      </c>
      <c r="L20" s="159">
        <f>IF(+L19-M19&gt;0,+L19-M19,0)</f>
        <v>6881.15</v>
      </c>
      <c r="M20" s="159">
        <f>IF(+L19-M19&lt;0,(+L19-M19),0)</f>
        <v>0</v>
      </c>
      <c r="O20" s="159">
        <f>IF(+O19-P19&gt;0,+O19-P19,0)</f>
        <v>0</v>
      </c>
      <c r="P20" s="159">
        <f>IF(+O19-P19&lt;0,(+O19-P19),0)</f>
        <v>0</v>
      </c>
      <c r="Q20" s="159">
        <f>IF(+Q19-R19&gt;0,+Q19-R19,0)</f>
        <v>0</v>
      </c>
      <c r="R20" s="159">
        <f>IF(+Q19-R19&lt;0,(+Q19-R19),0)</f>
        <v>0</v>
      </c>
    </row>
    <row r="21" spans="1:18" s="65" customFormat="1" ht="18.75" thickBot="1">
      <c r="A21" s="372" t="s">
        <v>152</v>
      </c>
      <c r="B21" s="373"/>
      <c r="C21" s="373"/>
      <c r="D21" s="374"/>
      <c r="E21" s="174">
        <f>H20+G20-F20-E20</f>
        <v>-10689.39</v>
      </c>
      <c r="F21" s="63"/>
      <c r="G21" s="63"/>
      <c r="H21" s="64"/>
      <c r="J21" s="174">
        <f>M20+L20-K20-J20</f>
        <v>1881.1499999999996</v>
      </c>
      <c r="K21" s="63"/>
      <c r="L21" s="63"/>
      <c r="M21" s="64"/>
      <c r="O21" s="174">
        <f>R20+Q20-P20-O20</f>
        <v>0</v>
      </c>
      <c r="P21" s="63"/>
      <c r="Q21" s="63"/>
      <c r="R21" s="64"/>
    </row>
    <row r="23" ht="18.75" thickBot="1"/>
    <row r="24" spans="1:18" ht="18.75" thickBot="1">
      <c r="A24" s="221"/>
      <c r="B24" s="378" t="s">
        <v>33</v>
      </c>
      <c r="C24" s="379"/>
      <c r="D24" s="380"/>
      <c r="E24" s="387" t="s">
        <v>157</v>
      </c>
      <c r="F24" s="389"/>
      <c r="G24" s="389"/>
      <c r="H24" s="388"/>
      <c r="I24" s="58"/>
      <c r="J24" s="387" t="s">
        <v>157</v>
      </c>
      <c r="K24" s="389"/>
      <c r="L24" s="389"/>
      <c r="M24" s="388"/>
      <c r="N24" s="58"/>
      <c r="O24" s="387" t="s">
        <v>157</v>
      </c>
      <c r="P24" s="389"/>
      <c r="Q24" s="389"/>
      <c r="R24" s="388"/>
    </row>
    <row r="25" spans="1:18" ht="18.75" thickBot="1">
      <c r="A25" s="222"/>
      <c r="B25" s="381"/>
      <c r="C25" s="382"/>
      <c r="D25" s="383"/>
      <c r="E25" s="387" t="s">
        <v>48</v>
      </c>
      <c r="F25" s="388"/>
      <c r="G25" s="378" t="s">
        <v>61</v>
      </c>
      <c r="H25" s="380"/>
      <c r="I25" s="58"/>
      <c r="J25" s="387" t="s">
        <v>48</v>
      </c>
      <c r="K25" s="388"/>
      <c r="L25" s="378" t="s">
        <v>61</v>
      </c>
      <c r="M25" s="380"/>
      <c r="N25" s="58"/>
      <c r="O25" s="387" t="s">
        <v>48</v>
      </c>
      <c r="P25" s="388"/>
      <c r="Q25" s="378" t="s">
        <v>61</v>
      </c>
      <c r="R25" s="380"/>
    </row>
    <row r="26" spans="1:18" ht="18.75" thickBot="1">
      <c r="A26" s="223" t="s">
        <v>60</v>
      </c>
      <c r="B26" s="384"/>
      <c r="C26" s="385"/>
      <c r="D26" s="386"/>
      <c r="E26" s="171" t="s">
        <v>149</v>
      </c>
      <c r="F26" s="171" t="s">
        <v>150</v>
      </c>
      <c r="G26" s="287" t="s">
        <v>149</v>
      </c>
      <c r="H26" s="287" t="s">
        <v>150</v>
      </c>
      <c r="I26" s="58"/>
      <c r="J26" s="171" t="s">
        <v>149</v>
      </c>
      <c r="K26" s="171" t="s">
        <v>150</v>
      </c>
      <c r="L26" s="287" t="s">
        <v>149</v>
      </c>
      <c r="M26" s="287" t="s">
        <v>150</v>
      </c>
      <c r="N26" s="58"/>
      <c r="O26" s="171" t="s">
        <v>149</v>
      </c>
      <c r="P26" s="171" t="s">
        <v>150</v>
      </c>
      <c r="Q26" s="287" t="s">
        <v>149</v>
      </c>
      <c r="R26" s="287" t="s">
        <v>150</v>
      </c>
    </row>
    <row r="27" spans="1:18" ht="18">
      <c r="A27" s="224">
        <v>1</v>
      </c>
      <c r="B27" s="227" t="s">
        <v>201</v>
      </c>
      <c r="C27" s="225" t="s">
        <v>211</v>
      </c>
      <c r="D27" s="226">
        <f>283.4442/189.6101</f>
        <v>1.4948792284799177</v>
      </c>
      <c r="E27" s="60">
        <v>0</v>
      </c>
      <c r="F27" s="163">
        <v>0</v>
      </c>
      <c r="G27" s="288">
        <f aca="true" t="shared" si="5" ref="G27:G38">ROUND(($D27*E27),2)</f>
        <v>0</v>
      </c>
      <c r="H27" s="289">
        <f aca="true" t="shared" si="6" ref="H27:H38">ROUND(($D27*F27),2)</f>
        <v>0</v>
      </c>
      <c r="J27" s="60">
        <v>0</v>
      </c>
      <c r="K27" s="163">
        <v>0</v>
      </c>
      <c r="L27" s="288">
        <f aca="true" t="shared" si="7" ref="L27:L38">ROUND(($D27*J27),2)</f>
        <v>0</v>
      </c>
      <c r="M27" s="289">
        <f aca="true" t="shared" si="8" ref="M27:M38">ROUND(($D27*K27),2)</f>
        <v>0</v>
      </c>
      <c r="O27" s="60">
        <v>0</v>
      </c>
      <c r="P27" s="163">
        <v>0</v>
      </c>
      <c r="Q27" s="288">
        <f aca="true" t="shared" si="9" ref="Q27:Q38">ROUND(($D27*O27),2)</f>
        <v>0</v>
      </c>
      <c r="R27" s="289">
        <f aca="true" t="shared" si="10" ref="R27:R38">ROUND(($D27*P27),2)</f>
        <v>0</v>
      </c>
    </row>
    <row r="28" spans="1:18" ht="18">
      <c r="A28" s="224">
        <v>2</v>
      </c>
      <c r="B28" s="227" t="s">
        <v>202</v>
      </c>
      <c r="C28" s="225" t="s">
        <v>212</v>
      </c>
      <c r="D28" s="226">
        <f>283.4442/196.7501</f>
        <v>1.4406305257278142</v>
      </c>
      <c r="E28" s="60">
        <v>0</v>
      </c>
      <c r="F28" s="163">
        <v>0</v>
      </c>
      <c r="G28" s="288">
        <f t="shared" si="5"/>
        <v>0</v>
      </c>
      <c r="H28" s="289">
        <f t="shared" si="6"/>
        <v>0</v>
      </c>
      <c r="J28" s="60">
        <v>0</v>
      </c>
      <c r="K28" s="163">
        <v>0</v>
      </c>
      <c r="L28" s="288">
        <f t="shared" si="7"/>
        <v>0</v>
      </c>
      <c r="M28" s="289">
        <f t="shared" si="8"/>
        <v>0</v>
      </c>
      <c r="O28" s="60">
        <v>0</v>
      </c>
      <c r="P28" s="163">
        <v>0</v>
      </c>
      <c r="Q28" s="288">
        <f t="shared" si="9"/>
        <v>0</v>
      </c>
      <c r="R28" s="289">
        <f t="shared" si="10"/>
        <v>0</v>
      </c>
    </row>
    <row r="29" spans="1:18" ht="18">
      <c r="A29" s="224">
        <v>3</v>
      </c>
      <c r="B29" s="227" t="s">
        <v>203</v>
      </c>
      <c r="C29" s="225" t="s">
        <v>213</v>
      </c>
      <c r="D29" s="226">
        <f>283.4442/205.9571</f>
        <v>1.3762293215431758</v>
      </c>
      <c r="E29" s="60">
        <v>0</v>
      </c>
      <c r="F29" s="163">
        <v>0</v>
      </c>
      <c r="G29" s="288">
        <f t="shared" si="5"/>
        <v>0</v>
      </c>
      <c r="H29" s="289">
        <f t="shared" si="6"/>
        <v>0</v>
      </c>
      <c r="J29" s="60">
        <v>0</v>
      </c>
      <c r="K29" s="163">
        <v>0</v>
      </c>
      <c r="L29" s="288">
        <f t="shared" si="7"/>
        <v>0</v>
      </c>
      <c r="M29" s="289">
        <f t="shared" si="8"/>
        <v>0</v>
      </c>
      <c r="O29" s="60">
        <v>0</v>
      </c>
      <c r="P29" s="163">
        <v>0</v>
      </c>
      <c r="Q29" s="288">
        <f t="shared" si="9"/>
        <v>0</v>
      </c>
      <c r="R29" s="289">
        <f t="shared" si="10"/>
        <v>0</v>
      </c>
    </row>
    <row r="30" spans="1:18" ht="18">
      <c r="A30" s="224">
        <v>4</v>
      </c>
      <c r="B30" s="227" t="s">
        <v>204</v>
      </c>
      <c r="C30" s="225" t="s">
        <v>214</v>
      </c>
      <c r="D30" s="226">
        <f>283.4442/213.0517</f>
        <v>1.3304010247278009</v>
      </c>
      <c r="E30" s="60">
        <v>0</v>
      </c>
      <c r="F30" s="163">
        <v>0</v>
      </c>
      <c r="G30" s="288">
        <f t="shared" si="5"/>
        <v>0</v>
      </c>
      <c r="H30" s="289">
        <f t="shared" si="6"/>
        <v>0</v>
      </c>
      <c r="J30" s="60">
        <v>0</v>
      </c>
      <c r="K30" s="163">
        <v>0</v>
      </c>
      <c r="L30" s="288">
        <f t="shared" si="7"/>
        <v>0</v>
      </c>
      <c r="M30" s="289">
        <f t="shared" si="8"/>
        <v>0</v>
      </c>
      <c r="O30" s="60">
        <v>0</v>
      </c>
      <c r="P30" s="163">
        <v>0</v>
      </c>
      <c r="Q30" s="288">
        <f t="shared" si="9"/>
        <v>0</v>
      </c>
      <c r="R30" s="289">
        <f t="shared" si="10"/>
        <v>0</v>
      </c>
    </row>
    <row r="31" spans="1:18" ht="18">
      <c r="A31" s="224">
        <v>5</v>
      </c>
      <c r="B31" s="227" t="s">
        <v>203</v>
      </c>
      <c r="C31" s="225" t="s">
        <v>215</v>
      </c>
      <c r="D31" s="226">
        <f>283.4442/219.5691</f>
        <v>1.2909111527988228</v>
      </c>
      <c r="E31" s="60">
        <v>0</v>
      </c>
      <c r="F31" s="163">
        <v>0</v>
      </c>
      <c r="G31" s="288">
        <f t="shared" si="5"/>
        <v>0</v>
      </c>
      <c r="H31" s="289">
        <f t="shared" si="6"/>
        <v>0</v>
      </c>
      <c r="J31" s="60">
        <v>0</v>
      </c>
      <c r="K31" s="163">
        <v>0</v>
      </c>
      <c r="L31" s="288">
        <f t="shared" si="7"/>
        <v>0</v>
      </c>
      <c r="M31" s="289">
        <f t="shared" si="8"/>
        <v>0</v>
      </c>
      <c r="O31" s="60">
        <v>0</v>
      </c>
      <c r="P31" s="163">
        <v>0</v>
      </c>
      <c r="Q31" s="288">
        <f t="shared" si="9"/>
        <v>0</v>
      </c>
      <c r="R31" s="289">
        <f t="shared" si="10"/>
        <v>0</v>
      </c>
    </row>
    <row r="32" spans="1:18" ht="18">
      <c r="A32" s="224">
        <v>6</v>
      </c>
      <c r="B32" s="227" t="s">
        <v>205</v>
      </c>
      <c r="C32" s="225" t="s">
        <v>216</v>
      </c>
      <c r="D32" s="226">
        <f>283.4442/225.537</f>
        <v>1.2567525505792843</v>
      </c>
      <c r="E32" s="60">
        <v>0</v>
      </c>
      <c r="F32" s="163">
        <v>0</v>
      </c>
      <c r="G32" s="288">
        <f t="shared" si="5"/>
        <v>0</v>
      </c>
      <c r="H32" s="289">
        <f t="shared" si="6"/>
        <v>0</v>
      </c>
      <c r="J32" s="60">
        <v>0</v>
      </c>
      <c r="K32" s="163">
        <v>0</v>
      </c>
      <c r="L32" s="288">
        <f t="shared" si="7"/>
        <v>0</v>
      </c>
      <c r="M32" s="289">
        <f t="shared" si="8"/>
        <v>0</v>
      </c>
      <c r="O32" s="60">
        <v>0</v>
      </c>
      <c r="P32" s="163">
        <v>0</v>
      </c>
      <c r="Q32" s="288">
        <f t="shared" si="9"/>
        <v>0</v>
      </c>
      <c r="R32" s="289">
        <f t="shared" si="10"/>
        <v>0</v>
      </c>
    </row>
    <row r="33" spans="1:18" ht="18">
      <c r="A33" s="224">
        <v>7</v>
      </c>
      <c r="B33" s="227" t="s">
        <v>205</v>
      </c>
      <c r="C33" s="225" t="s">
        <v>217</v>
      </c>
      <c r="D33" s="226">
        <f>283.4442/230.494</f>
        <v>1.2297248518399613</v>
      </c>
      <c r="E33" s="60">
        <v>0</v>
      </c>
      <c r="F33" s="163">
        <v>0</v>
      </c>
      <c r="G33" s="288">
        <f t="shared" si="5"/>
        <v>0</v>
      </c>
      <c r="H33" s="289">
        <f t="shared" si="6"/>
        <v>0</v>
      </c>
      <c r="J33" s="60">
        <v>0</v>
      </c>
      <c r="K33" s="163">
        <v>0</v>
      </c>
      <c r="L33" s="288">
        <f t="shared" si="7"/>
        <v>0</v>
      </c>
      <c r="M33" s="289">
        <f t="shared" si="8"/>
        <v>0</v>
      </c>
      <c r="O33" s="60">
        <v>0</v>
      </c>
      <c r="P33" s="163">
        <v>0</v>
      </c>
      <c r="Q33" s="288">
        <f t="shared" si="9"/>
        <v>0</v>
      </c>
      <c r="R33" s="289">
        <f t="shared" si="10"/>
        <v>0</v>
      </c>
    </row>
    <row r="34" spans="1:18" ht="18">
      <c r="A34" s="224">
        <v>8</v>
      </c>
      <c r="B34" s="227" t="s">
        <v>204</v>
      </c>
      <c r="C34" s="225" t="s">
        <v>218</v>
      </c>
      <c r="D34" s="226">
        <f>283.4442/239.6077</f>
        <v>1.18295113220485</v>
      </c>
      <c r="E34" s="60">
        <v>0</v>
      </c>
      <c r="F34" s="163">
        <v>0</v>
      </c>
      <c r="G34" s="288">
        <f t="shared" si="5"/>
        <v>0</v>
      </c>
      <c r="H34" s="289">
        <f t="shared" si="6"/>
        <v>0</v>
      </c>
      <c r="J34" s="60">
        <v>0</v>
      </c>
      <c r="K34" s="163">
        <v>0</v>
      </c>
      <c r="L34" s="288">
        <f t="shared" si="7"/>
        <v>0</v>
      </c>
      <c r="M34" s="289">
        <f t="shared" si="8"/>
        <v>0</v>
      </c>
      <c r="O34" s="60">
        <v>0</v>
      </c>
      <c r="P34" s="163">
        <v>0</v>
      </c>
      <c r="Q34" s="288">
        <f t="shared" si="9"/>
        <v>0</v>
      </c>
      <c r="R34" s="289">
        <f t="shared" si="10"/>
        <v>0</v>
      </c>
    </row>
    <row r="35" spans="1:18" ht="18">
      <c r="A35" s="224">
        <v>9</v>
      </c>
      <c r="B35" s="227" t="s">
        <v>206</v>
      </c>
      <c r="C35" s="225" t="s">
        <v>219</v>
      </c>
      <c r="D35" s="226">
        <f>283.4442/253.7102</f>
        <v>1.1171967071091349</v>
      </c>
      <c r="E35" s="60">
        <v>0</v>
      </c>
      <c r="F35" s="163">
        <v>0</v>
      </c>
      <c r="G35" s="288">
        <f t="shared" si="5"/>
        <v>0</v>
      </c>
      <c r="H35" s="289">
        <f t="shared" si="6"/>
        <v>0</v>
      </c>
      <c r="J35" s="60">
        <v>0</v>
      </c>
      <c r="K35" s="163">
        <v>0</v>
      </c>
      <c r="L35" s="288">
        <f t="shared" si="7"/>
        <v>0</v>
      </c>
      <c r="M35" s="289">
        <f t="shared" si="8"/>
        <v>0</v>
      </c>
      <c r="O35" s="60">
        <v>0</v>
      </c>
      <c r="P35" s="163">
        <v>0</v>
      </c>
      <c r="Q35" s="288">
        <f t="shared" si="9"/>
        <v>0</v>
      </c>
      <c r="R35" s="289">
        <f t="shared" si="10"/>
        <v>0</v>
      </c>
    </row>
    <row r="36" spans="1:18" ht="18">
      <c r="A36" s="224">
        <v>10</v>
      </c>
      <c r="B36" s="227" t="s">
        <v>207</v>
      </c>
      <c r="C36" s="225" t="s">
        <v>220</v>
      </c>
      <c r="D36" s="226">
        <f>283.4442/262.0661</f>
        <v>1.0815752209080076</v>
      </c>
      <c r="E36" s="60">
        <v>0</v>
      </c>
      <c r="F36" s="163">
        <v>0</v>
      </c>
      <c r="G36" s="288">
        <f t="shared" si="5"/>
        <v>0</v>
      </c>
      <c r="H36" s="289">
        <f t="shared" si="6"/>
        <v>0</v>
      </c>
      <c r="J36" s="60">
        <v>0</v>
      </c>
      <c r="K36" s="163">
        <v>0</v>
      </c>
      <c r="L36" s="288">
        <f t="shared" si="7"/>
        <v>0</v>
      </c>
      <c r="M36" s="289">
        <f t="shared" si="8"/>
        <v>0</v>
      </c>
      <c r="O36" s="60">
        <v>0</v>
      </c>
      <c r="P36" s="163">
        <v>0</v>
      </c>
      <c r="Q36" s="288">
        <f t="shared" si="9"/>
        <v>0</v>
      </c>
      <c r="R36" s="289">
        <f t="shared" si="10"/>
        <v>0</v>
      </c>
    </row>
    <row r="37" spans="1:18" ht="18">
      <c r="A37" s="224">
        <v>11</v>
      </c>
      <c r="B37" s="227" t="s">
        <v>208</v>
      </c>
      <c r="C37" s="225" t="s">
        <v>221</v>
      </c>
      <c r="D37" s="226">
        <f>283.4442/273.2158</f>
        <v>1.0374370735513834</v>
      </c>
      <c r="E37" s="60">
        <v>0</v>
      </c>
      <c r="F37" s="163">
        <v>0</v>
      </c>
      <c r="G37" s="288">
        <f t="shared" si="5"/>
        <v>0</v>
      </c>
      <c r="H37" s="289">
        <f t="shared" si="6"/>
        <v>0</v>
      </c>
      <c r="J37" s="60">
        <v>0</v>
      </c>
      <c r="K37" s="163">
        <v>0</v>
      </c>
      <c r="L37" s="288">
        <f t="shared" si="7"/>
        <v>0</v>
      </c>
      <c r="M37" s="289">
        <f t="shared" si="8"/>
        <v>0</v>
      </c>
      <c r="O37" s="60">
        <v>0</v>
      </c>
      <c r="P37" s="163">
        <v>0</v>
      </c>
      <c r="Q37" s="288">
        <f t="shared" si="9"/>
        <v>0</v>
      </c>
      <c r="R37" s="289">
        <f t="shared" si="10"/>
        <v>0</v>
      </c>
    </row>
    <row r="38" spans="1:18" ht="18.75" thickBot="1">
      <c r="A38" s="228">
        <v>12</v>
      </c>
      <c r="B38" s="229" t="s">
        <v>209</v>
      </c>
      <c r="C38" s="225" t="s">
        <v>222</v>
      </c>
      <c r="D38" s="226">
        <f>283.4442/283.4442</f>
        <v>1</v>
      </c>
      <c r="E38" s="60">
        <v>0</v>
      </c>
      <c r="F38" s="164">
        <v>0</v>
      </c>
      <c r="G38" s="288">
        <f t="shared" si="5"/>
        <v>0</v>
      </c>
      <c r="H38" s="289">
        <f t="shared" si="6"/>
        <v>0</v>
      </c>
      <c r="J38" s="60">
        <v>0</v>
      </c>
      <c r="K38" s="164">
        <v>0</v>
      </c>
      <c r="L38" s="288">
        <f t="shared" si="7"/>
        <v>0</v>
      </c>
      <c r="M38" s="289">
        <f t="shared" si="8"/>
        <v>0</v>
      </c>
      <c r="O38" s="60">
        <v>0</v>
      </c>
      <c r="P38" s="164">
        <v>0</v>
      </c>
      <c r="Q38" s="288">
        <f t="shared" si="9"/>
        <v>0</v>
      </c>
      <c r="R38" s="289">
        <f t="shared" si="10"/>
        <v>0</v>
      </c>
    </row>
    <row r="39" spans="1:18" ht="18.75" thickBot="1">
      <c r="A39" s="230" t="s">
        <v>62</v>
      </c>
      <c r="B39" s="231"/>
      <c r="C39" s="231"/>
      <c r="D39" s="232"/>
      <c r="E39" s="61">
        <f>SUM(E27:E38)</f>
        <v>0</v>
      </c>
      <c r="F39" s="61">
        <f>SUM(F27:F38)</f>
        <v>0</v>
      </c>
      <c r="G39" s="290">
        <f>SUM(G27:G38)</f>
        <v>0</v>
      </c>
      <c r="H39" s="290">
        <f>SUM(H27:H38)</f>
        <v>0</v>
      </c>
      <c r="I39" s="58"/>
      <c r="J39" s="61">
        <f>SUM(J27:J38)</f>
        <v>0</v>
      </c>
      <c r="K39" s="61">
        <f>SUM(K27:K38)</f>
        <v>0</v>
      </c>
      <c r="L39" s="290">
        <f>SUM(L27:L38)</f>
        <v>0</v>
      </c>
      <c r="M39" s="290">
        <f>SUM(M27:M38)</f>
        <v>0</v>
      </c>
      <c r="N39" s="58"/>
      <c r="O39" s="61">
        <f>SUM(O27:O38)</f>
        <v>0</v>
      </c>
      <c r="P39" s="61">
        <f>SUM(P27:P38)</f>
        <v>0</v>
      </c>
      <c r="Q39" s="290">
        <f>SUM(Q27:Q38)</f>
        <v>0</v>
      </c>
      <c r="R39" s="290">
        <f>SUM(R27:R38)</f>
        <v>0</v>
      </c>
    </row>
    <row r="40" spans="1:18" ht="18.75" thickBot="1">
      <c r="A40" s="418" t="s">
        <v>151</v>
      </c>
      <c r="B40" s="419"/>
      <c r="C40" s="419"/>
      <c r="D40" s="420"/>
      <c r="E40" s="159">
        <f>+E39-F39</f>
        <v>0</v>
      </c>
      <c r="F40" s="62"/>
      <c r="G40" s="159">
        <f>+G39-H39</f>
        <v>0</v>
      </c>
      <c r="H40" s="62"/>
      <c r="J40" s="159">
        <f>+J39-K39</f>
        <v>0</v>
      </c>
      <c r="K40" s="62"/>
      <c r="L40" s="159">
        <f>+L39-M39</f>
        <v>0</v>
      </c>
      <c r="M40" s="62"/>
      <c r="O40" s="159">
        <f>+O39-P39</f>
        <v>0</v>
      </c>
      <c r="P40" s="62"/>
      <c r="Q40" s="159">
        <f>+Q39-R39</f>
        <v>0</v>
      </c>
      <c r="R40" s="62"/>
    </row>
    <row r="41" spans="1:18" ht="18.75" thickBot="1">
      <c r="A41" s="372" t="s">
        <v>152</v>
      </c>
      <c r="B41" s="373"/>
      <c r="C41" s="373"/>
      <c r="D41" s="374"/>
      <c r="E41" s="174">
        <f>+G40-E40</f>
        <v>0</v>
      </c>
      <c r="F41" s="63"/>
      <c r="G41" s="63"/>
      <c r="H41" s="64"/>
      <c r="I41" s="65"/>
      <c r="J41" s="174">
        <f>+L40-J40</f>
        <v>0</v>
      </c>
      <c r="K41" s="63"/>
      <c r="L41" s="63"/>
      <c r="M41" s="64"/>
      <c r="N41" s="65"/>
      <c r="O41" s="174">
        <f>+Q40-O40</f>
        <v>0</v>
      </c>
      <c r="P41" s="63"/>
      <c r="Q41" s="63"/>
      <c r="R41" s="64"/>
    </row>
    <row r="43" spans="1:7" ht="23.25">
      <c r="A43" s="424" t="s">
        <v>181</v>
      </c>
      <c r="B43" s="425"/>
      <c r="C43" s="425"/>
      <c r="D43" s="425"/>
      <c r="E43" s="425"/>
      <c r="F43" s="425"/>
      <c r="G43" s="426"/>
    </row>
    <row r="44" spans="1:8" ht="23.25">
      <c r="A44" s="421" t="str">
        <f>+E4</f>
        <v>VENTAS</v>
      </c>
      <c r="B44" s="422"/>
      <c r="C44" s="422"/>
      <c r="D44" s="422"/>
      <c r="E44" s="422"/>
      <c r="F44" s="294">
        <f>IF(+E21&gt;0,E21,0)</f>
        <v>0</v>
      </c>
      <c r="G44" s="295">
        <f>IF(+E21&lt;0,-E21,0)</f>
        <v>10689.39</v>
      </c>
      <c r="H44" s="292"/>
    </row>
    <row r="45" spans="1:8" ht="23.25">
      <c r="A45" s="423" t="str">
        <f>+J4</f>
        <v>HONORARIOS</v>
      </c>
      <c r="B45" s="423"/>
      <c r="C45" s="423"/>
      <c r="D45" s="423"/>
      <c r="E45" s="421"/>
      <c r="F45" s="294">
        <f>IF(+J21&gt;0,J21,0)</f>
        <v>1881.1499999999996</v>
      </c>
      <c r="G45" s="295">
        <f>IF(+J21&lt;0,-J21,0)</f>
        <v>0</v>
      </c>
      <c r="H45" s="292"/>
    </row>
    <row r="46" spans="1:8" ht="23.25">
      <c r="A46" s="423" t="str">
        <f>+O4</f>
        <v>FLETES MERCADERIAS REMITIDAS</v>
      </c>
      <c r="B46" s="423"/>
      <c r="C46" s="423"/>
      <c r="D46" s="423"/>
      <c r="E46" s="421"/>
      <c r="F46" s="294">
        <f>IF(+O21&gt;0,O21,0)</f>
        <v>0</v>
      </c>
      <c r="G46" s="295">
        <f>IF(+O21&lt;0,-O21,0)</f>
        <v>0</v>
      </c>
      <c r="H46" s="292"/>
    </row>
    <row r="47" spans="1:8" ht="23.25">
      <c r="A47" s="423" t="str">
        <f>+E24</f>
        <v> …………….</v>
      </c>
      <c r="B47" s="423"/>
      <c r="C47" s="423"/>
      <c r="D47" s="423"/>
      <c r="E47" s="421"/>
      <c r="F47" s="294">
        <f>IF(+E41&gt;0,E41,0)</f>
        <v>0</v>
      </c>
      <c r="G47" s="295">
        <f>IF(+E41&lt;0,-E41,0)</f>
        <v>0</v>
      </c>
      <c r="H47" s="293"/>
    </row>
    <row r="48" spans="1:8" ht="23.25">
      <c r="A48" s="423" t="str">
        <f>+J24</f>
        <v> …………….</v>
      </c>
      <c r="B48" s="423"/>
      <c r="C48" s="423"/>
      <c r="D48" s="423"/>
      <c r="E48" s="421"/>
      <c r="F48" s="294">
        <f>IF(+J41&gt;0,J41,0)</f>
        <v>0</v>
      </c>
      <c r="G48" s="295">
        <f>IF(+J41&lt;0,-J41,0)</f>
        <v>0</v>
      </c>
      <c r="H48" s="293"/>
    </row>
    <row r="49" spans="1:8" ht="23.25">
      <c r="A49" s="423" t="str">
        <f>+O24</f>
        <v> …………….</v>
      </c>
      <c r="B49" s="423"/>
      <c r="C49" s="423"/>
      <c r="D49" s="423"/>
      <c r="E49" s="421"/>
      <c r="F49" s="294">
        <f>IF(+O41&gt;0,O41,0)</f>
        <v>0</v>
      </c>
      <c r="G49" s="295">
        <f>IF(+O41&lt;0,-O41,0)</f>
        <v>0</v>
      </c>
      <c r="H49" s="293"/>
    </row>
    <row r="50" spans="1:8" ht="23.25">
      <c r="A50" s="428" t="s">
        <v>143</v>
      </c>
      <c r="B50" s="428"/>
      <c r="C50" s="428"/>
      <c r="D50" s="428"/>
      <c r="E50" s="429"/>
      <c r="F50" s="294">
        <f>IF(F44+F45+F46+F47+F48+F49-G44-G45-G47-G48-G49&lt;0,-(F44+F45+F46+F47+F48+F49-G44-G45-G47-G48-G49),0)</f>
        <v>8808.24</v>
      </c>
      <c r="G50" s="294">
        <f>IF(F44+F45+F46+F47+F48+F49-G44-G45-G47-G48-G49&gt;0,(F44+F45+F46+F47+F48+F49-G44-G45-G47-G48-G49),0)</f>
        <v>0</v>
      </c>
      <c r="H50" s="293"/>
    </row>
    <row r="51" spans="1:5" ht="18">
      <c r="A51" s="427"/>
      <c r="B51" s="427"/>
      <c r="C51" s="427"/>
      <c r="D51" s="427"/>
      <c r="E51" s="427"/>
    </row>
    <row r="52" spans="1:5" ht="18">
      <c r="A52" s="427"/>
      <c r="B52" s="427"/>
      <c r="C52" s="427"/>
      <c r="D52" s="427"/>
      <c r="E52" s="427"/>
    </row>
    <row r="53" spans="1:5" ht="18">
      <c r="A53" s="427"/>
      <c r="B53" s="427"/>
      <c r="C53" s="427"/>
      <c r="D53" s="427"/>
      <c r="E53" s="427"/>
    </row>
  </sheetData>
  <sheetProtection/>
  <mergeCells count="36">
    <mergeCell ref="A47:E47"/>
    <mergeCell ref="A48:E48"/>
    <mergeCell ref="A51:E51"/>
    <mergeCell ref="A52:E52"/>
    <mergeCell ref="A53:E53"/>
    <mergeCell ref="A49:E49"/>
    <mergeCell ref="A50:E50"/>
    <mergeCell ref="A44:E44"/>
    <mergeCell ref="J24:M24"/>
    <mergeCell ref="B24:D26"/>
    <mergeCell ref="A45:E45"/>
    <mergeCell ref="A46:E46"/>
    <mergeCell ref="A43:G43"/>
    <mergeCell ref="A40:D40"/>
    <mergeCell ref="A41:D41"/>
    <mergeCell ref="E24:H24"/>
    <mergeCell ref="O4:R4"/>
    <mergeCell ref="O5:P5"/>
    <mergeCell ref="Q5:R5"/>
    <mergeCell ref="O24:R24"/>
    <mergeCell ref="E25:F25"/>
    <mergeCell ref="G25:H25"/>
    <mergeCell ref="J25:K25"/>
    <mergeCell ref="L25:M25"/>
    <mergeCell ref="O25:P25"/>
    <mergeCell ref="Q25:R25"/>
    <mergeCell ref="A2:K2"/>
    <mergeCell ref="A21:D21"/>
    <mergeCell ref="B4:D6"/>
    <mergeCell ref="E4:H4"/>
    <mergeCell ref="E5:F5"/>
    <mergeCell ref="G5:H5"/>
    <mergeCell ref="A20:D20"/>
    <mergeCell ref="J4:M4"/>
    <mergeCell ref="J5:K5"/>
    <mergeCell ref="L5:M5"/>
  </mergeCells>
  <printOptions/>
  <pageMargins left="0.3" right="0.25" top="0.27" bottom="0.34" header="0.31496062992125984" footer="0.31496062992125984"/>
  <pageSetup cellComments="asDisplayed"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3"/>
  <sheetViews>
    <sheetView zoomScalePageLayoutView="0" workbookViewId="0" topLeftCell="A1">
      <selection activeCell="B39" sqref="B39"/>
    </sheetView>
  </sheetViews>
  <sheetFormatPr defaultColWidth="11.421875" defaultRowHeight="15"/>
  <cols>
    <col min="1" max="1" width="54.7109375" style="0" customWidth="1"/>
    <col min="2" max="2" width="12.421875" style="0" bestFit="1" customWidth="1"/>
    <col min="3" max="3" width="13.7109375" style="0" customWidth="1"/>
    <col min="5" max="5" width="7.7109375" style="0" customWidth="1"/>
    <col min="6" max="6" width="5.7109375" style="0" customWidth="1"/>
  </cols>
  <sheetData>
    <row r="1" spans="1:3" ht="15">
      <c r="A1" s="430" t="s">
        <v>21</v>
      </c>
      <c r="B1" s="430"/>
      <c r="C1" s="430"/>
    </row>
    <row r="2" spans="1:4" ht="15">
      <c r="A2" s="431" t="s">
        <v>180</v>
      </c>
      <c r="B2" s="431"/>
      <c r="C2" s="431"/>
      <c r="D2" s="298"/>
    </row>
    <row r="3" ht="18.75">
      <c r="A3" s="178" t="s">
        <v>225</v>
      </c>
    </row>
    <row r="4" spans="1:3" ht="15">
      <c r="A4" s="180" t="s">
        <v>226</v>
      </c>
      <c r="B4" s="181"/>
      <c r="C4" s="181"/>
    </row>
    <row r="5" spans="1:3" ht="15">
      <c r="A5" s="5" t="s">
        <v>27</v>
      </c>
      <c r="B5" s="180">
        <v>1335.1099999999997</v>
      </c>
      <c r="C5" s="5"/>
    </row>
    <row r="6" spans="1:3" ht="15">
      <c r="A6" s="5" t="s">
        <v>143</v>
      </c>
      <c r="B6" s="5"/>
      <c r="C6" s="325">
        <v>1335.1099999999997</v>
      </c>
    </row>
    <row r="7" spans="1:3" ht="15">
      <c r="A7" s="182"/>
      <c r="B7" s="5"/>
      <c r="C7" s="5"/>
    </row>
    <row r="8" spans="1:3" ht="15">
      <c r="A8" s="180" t="s">
        <v>227</v>
      </c>
      <c r="B8" s="5"/>
      <c r="C8" s="5"/>
    </row>
    <row r="9" spans="1:3" ht="15">
      <c r="A9" s="5" t="s">
        <v>28</v>
      </c>
      <c r="B9" s="180">
        <v>115.34000000000015</v>
      </c>
      <c r="C9" s="5"/>
    </row>
    <row r="10" spans="1:3" ht="15">
      <c r="A10" s="5" t="s">
        <v>143</v>
      </c>
      <c r="B10" s="5"/>
      <c r="C10" s="325">
        <v>115.34000000000015</v>
      </c>
    </row>
    <row r="11" spans="1:3" ht="15">
      <c r="A11" s="182"/>
      <c r="B11" s="5"/>
      <c r="C11" s="5"/>
    </row>
    <row r="12" spans="1:3" ht="15">
      <c r="A12" s="183" t="s">
        <v>228</v>
      </c>
      <c r="B12" s="5"/>
      <c r="C12" s="5"/>
    </row>
    <row r="13" spans="1:3" ht="15">
      <c r="A13" s="5" t="s">
        <v>5</v>
      </c>
      <c r="B13" s="180">
        <v>48800</v>
      </c>
      <c r="C13" s="5"/>
    </row>
    <row r="14" spans="1:3" ht="15">
      <c r="A14" s="5" t="s">
        <v>143</v>
      </c>
      <c r="B14" s="5"/>
      <c r="C14" s="325">
        <v>48800</v>
      </c>
    </row>
    <row r="15" spans="1:3" ht="15">
      <c r="A15" s="184"/>
      <c r="B15" s="5"/>
      <c r="C15" s="5"/>
    </row>
    <row r="16" spans="1:3" ht="15">
      <c r="A16" s="180" t="s">
        <v>229</v>
      </c>
      <c r="B16" s="5"/>
      <c r="C16" s="5"/>
    </row>
    <row r="17" spans="1:3" ht="15">
      <c r="A17" s="5" t="s">
        <v>15</v>
      </c>
      <c r="B17" s="180">
        <v>6928.310000000001</v>
      </c>
      <c r="C17" s="5"/>
    </row>
    <row r="18" spans="1:3" ht="15">
      <c r="A18" s="5" t="s">
        <v>143</v>
      </c>
      <c r="B18" s="5"/>
      <c r="C18" s="325">
        <v>6928.310000000001</v>
      </c>
    </row>
    <row r="19" spans="1:3" ht="15">
      <c r="A19" s="184"/>
      <c r="B19" s="5"/>
      <c r="C19" s="5"/>
    </row>
    <row r="20" spans="1:3" ht="15">
      <c r="A20" s="180" t="s">
        <v>230</v>
      </c>
      <c r="B20" s="5"/>
      <c r="C20" s="5"/>
    </row>
    <row r="21" spans="1:3" ht="15">
      <c r="A21" s="5" t="s">
        <v>164</v>
      </c>
      <c r="B21" s="180">
        <v>335802.98</v>
      </c>
      <c r="C21" s="5"/>
    </row>
    <row r="22" spans="1:3" ht="15">
      <c r="A22" s="5" t="s">
        <v>165</v>
      </c>
      <c r="B22" s="180">
        <v>443498.3700000001</v>
      </c>
      <c r="C22" s="5"/>
    </row>
    <row r="23" spans="1:3" ht="15">
      <c r="A23" s="5" t="s">
        <v>166</v>
      </c>
      <c r="B23" s="5"/>
      <c r="C23" s="180">
        <v>134321.19</v>
      </c>
    </row>
    <row r="24" spans="1:3" ht="15">
      <c r="A24" s="5" t="s">
        <v>167</v>
      </c>
      <c r="B24" s="5"/>
      <c r="C24" s="180">
        <v>443498.3700000001</v>
      </c>
    </row>
    <row r="25" spans="1:4" ht="15">
      <c r="A25" s="5" t="s">
        <v>143</v>
      </c>
      <c r="B25" s="5"/>
      <c r="C25" s="325">
        <v>201481.79000000004</v>
      </c>
      <c r="D25" s="6"/>
    </row>
    <row r="26" spans="1:3" ht="15">
      <c r="A26" s="184"/>
      <c r="B26" s="5"/>
      <c r="C26" s="5"/>
    </row>
    <row r="27" spans="1:3" ht="15">
      <c r="A27" s="180" t="s">
        <v>231</v>
      </c>
      <c r="B27" s="5"/>
      <c r="C27" s="5"/>
    </row>
    <row r="28" spans="1:3" ht="15">
      <c r="A28" s="5" t="s">
        <v>168</v>
      </c>
      <c r="B28" s="180">
        <v>95962.42</v>
      </c>
      <c r="C28" s="5"/>
    </row>
    <row r="29" spans="1:3" ht="15">
      <c r="A29" s="5" t="s">
        <v>166</v>
      </c>
      <c r="B29" s="5"/>
      <c r="C29" s="180">
        <v>95962.42</v>
      </c>
    </row>
    <row r="30" spans="1:3" ht="15">
      <c r="A30" s="184"/>
      <c r="B30" s="5"/>
      <c r="C30" s="5"/>
    </row>
    <row r="31" spans="1:3" ht="15">
      <c r="A31" s="180" t="s">
        <v>232</v>
      </c>
      <c r="B31" s="5"/>
      <c r="C31" s="5"/>
    </row>
    <row r="32" spans="1:3" ht="15">
      <c r="A32" s="5" t="s">
        <v>143</v>
      </c>
      <c r="B32" s="325">
        <v>233398.09000000003</v>
      </c>
      <c r="C32" s="5"/>
    </row>
    <row r="33" spans="1:3" ht="15">
      <c r="A33" s="5" t="s">
        <v>173</v>
      </c>
      <c r="B33" s="5"/>
      <c r="C33" s="180">
        <v>12902.000000000004</v>
      </c>
    </row>
    <row r="34" spans="1:3" ht="15">
      <c r="A34" s="5" t="s">
        <v>171</v>
      </c>
      <c r="B34" s="5"/>
      <c r="C34" s="5"/>
    </row>
    <row r="35" spans="1:3" ht="15">
      <c r="A35" s="5" t="s">
        <v>169</v>
      </c>
      <c r="B35" s="5"/>
      <c r="C35" s="180">
        <v>794.8000000000002</v>
      </c>
    </row>
    <row r="36" spans="1:3" ht="15">
      <c r="A36" s="5" t="s">
        <v>172</v>
      </c>
      <c r="B36" s="5"/>
      <c r="C36" s="180">
        <v>219701.29000000004</v>
      </c>
    </row>
    <row r="37" spans="1:3" ht="15">
      <c r="A37" s="184"/>
      <c r="B37" s="5"/>
      <c r="C37" s="5"/>
    </row>
    <row r="38" spans="1:3" ht="15">
      <c r="A38" s="180" t="s">
        <v>233</v>
      </c>
      <c r="B38" s="5"/>
      <c r="C38" s="5"/>
    </row>
    <row r="39" spans="1:3" ht="15">
      <c r="A39" s="5" t="s">
        <v>143</v>
      </c>
      <c r="B39" s="325">
        <v>8808.24</v>
      </c>
      <c r="C39" s="5"/>
    </row>
    <row r="40" spans="1:3" ht="15">
      <c r="A40" s="5" t="s">
        <v>18</v>
      </c>
      <c r="B40" s="180">
        <v>1881.1499999999996</v>
      </c>
      <c r="C40" s="5"/>
    </row>
    <row r="41" spans="1:3" ht="15">
      <c r="A41" s="5" t="s">
        <v>14</v>
      </c>
      <c r="B41" s="5"/>
      <c r="C41" s="180">
        <v>10689.39</v>
      </c>
    </row>
    <row r="43" spans="2:4" ht="15">
      <c r="B43" s="6">
        <f>SUM(B4:B41)</f>
        <v>1176530.01</v>
      </c>
      <c r="C43" s="6">
        <f>SUM(C4:C41)</f>
        <v>1176530.01</v>
      </c>
      <c r="D43" s="6">
        <f>+B43-C43</f>
        <v>0</v>
      </c>
    </row>
  </sheetData>
  <sheetProtection/>
  <mergeCells count="2">
    <mergeCell ref="A1:C1"/>
    <mergeCell ref="A2:C2"/>
  </mergeCells>
  <printOptions/>
  <pageMargins left="0.35" right="0.3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Usuario</cp:lastModifiedBy>
  <cp:lastPrinted>2020-02-24T15:13:40Z</cp:lastPrinted>
  <dcterms:created xsi:type="dcterms:W3CDTF">2019-02-08T20:55:03Z</dcterms:created>
  <dcterms:modified xsi:type="dcterms:W3CDTF">2020-03-23T18:52:29Z</dcterms:modified>
  <cp:category/>
  <cp:version/>
  <cp:contentType/>
  <cp:contentStatus/>
</cp:coreProperties>
</file>